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1_3.bin" ContentType="application/vnd.openxmlformats-officedocument.oleObject"/>
  <Override PartName="/xl/embeddings/oleObject_1_4.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4_3.bin" ContentType="application/vnd.openxmlformats-officedocument.oleObject"/>
  <Override PartName="/xl/embeddings/oleObject_4_4.bin" ContentType="application/vnd.openxmlformats-officedocument.oleObject"/>
  <Override PartName="/xl/embeddings/oleObject_4_5.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346" activeTab="0"/>
  </bookViews>
  <sheets>
    <sheet name="Example SI" sheetId="1" r:id="rId1"/>
    <sheet name="Example 1" sheetId="2" r:id="rId2"/>
    <sheet name="Tables" sheetId="3" r:id="rId3"/>
    <sheet name="Gas data" sheetId="4" r:id="rId4"/>
    <sheet name="Ref. 1 " sheetId="5" r:id="rId5"/>
    <sheet name="Ref" sheetId="6" r:id="rId6"/>
  </sheets>
  <externalReferences>
    <externalReference r:id="rId9"/>
  </externalReferences>
  <definedNames>
    <definedName name="Kelv">'Example SI'!$W$38</definedName>
    <definedName name="LHV" localSheetId="0">'Example SI'!#REF!</definedName>
    <definedName name="LHV">'Example 1'!$P$120</definedName>
    <definedName name="LVH">'Ref. 1 '!$K$88</definedName>
    <definedName name="Rank">'Example 1'!$S$131</definedName>
    <definedName name="T_F" localSheetId="0">'Example SI'!#REF!</definedName>
    <definedName name="T_F">'Example 1'!$N$107</definedName>
    <definedName name="T_K" localSheetId="0">'Example SI'!#REF!</definedName>
    <definedName name="T_K">'Example 1'!$N$108</definedName>
    <definedName name="t_K_in" localSheetId="0">'Example SI'!#REF!</definedName>
    <definedName name="t_K_in">'Example 1'!$N$104</definedName>
  </definedNames>
  <calcPr fullCalcOnLoad="1" iterate="1" iterateCount="100" iterateDelta="1E-05"/>
</workbook>
</file>

<file path=xl/comments2.xml><?xml version="1.0" encoding="utf-8"?>
<comments xmlns="http://schemas.openxmlformats.org/spreadsheetml/2006/main">
  <authors>
    <author>Jeff Munic</author>
  </authors>
  <commentList>
    <comment ref="L9" authorId="0">
      <text>
        <r>
          <rPr>
            <b/>
            <sz val="8"/>
            <rFont val="Tahoma"/>
            <family val="2"/>
          </rPr>
          <t>Jeff Munic:</t>
        </r>
        <r>
          <rPr>
            <sz val="8"/>
            <rFont val="Tahoma"/>
            <family val="2"/>
          </rPr>
          <t xml:space="preserve">
The LVH is the net heat of combustion which accounts for the vaporization of the water created in the reaction. vapor</t>
        </r>
      </text>
    </comment>
    <comment ref="I111" authorId="0">
      <text>
        <r>
          <rPr>
            <b/>
            <sz val="8"/>
            <rFont val="Tahoma"/>
            <family val="2"/>
          </rPr>
          <t>Jeff Munic:</t>
        </r>
        <r>
          <rPr>
            <sz val="8"/>
            <rFont val="Tahoma"/>
            <family val="2"/>
          </rPr>
          <t xml:space="preserve">
The integral evaluated at the lower limit of integration.</t>
        </r>
      </text>
    </comment>
    <comment ref="J111" authorId="0">
      <text>
        <r>
          <rPr>
            <b/>
            <sz val="8"/>
            <rFont val="Tahoma"/>
            <family val="2"/>
          </rPr>
          <t>Jeff Munic:</t>
        </r>
        <r>
          <rPr>
            <sz val="8"/>
            <rFont val="Tahoma"/>
            <family val="2"/>
          </rPr>
          <t xml:space="preserve">
The integral evaluated at the upper limit of integration.</t>
        </r>
      </text>
    </comment>
  </commentList>
</comments>
</file>

<file path=xl/comments5.xml><?xml version="1.0" encoding="utf-8"?>
<comments xmlns="http://schemas.openxmlformats.org/spreadsheetml/2006/main">
  <authors>
    <author>Jeff Munic</author>
  </authors>
  <commentList>
    <comment ref="B11" authorId="0">
      <text>
        <r>
          <rPr>
            <b/>
            <sz val="8"/>
            <rFont val="Tahoma"/>
            <family val="2"/>
          </rPr>
          <t>Jeff Munic:</t>
        </r>
        <r>
          <rPr>
            <sz val="8"/>
            <rFont val="Tahoma"/>
            <family val="2"/>
          </rPr>
          <t xml:space="preserve">
The LVH is the net heat of combustion which accounts for the vaporization of the water created in the reaction. vapor</t>
        </r>
      </text>
    </comment>
    <comment ref="F50" authorId="0">
      <text>
        <r>
          <rPr>
            <b/>
            <sz val="8"/>
            <rFont val="Tahoma"/>
            <family val="2"/>
          </rPr>
          <t>Jeff Munic:</t>
        </r>
        <r>
          <rPr>
            <sz val="8"/>
            <rFont val="Tahoma"/>
            <family val="2"/>
          </rPr>
          <t xml:space="preserve">
(0.79/0.21) is the ratio of nitrogen to oxygen in air.</t>
        </r>
      </text>
    </comment>
    <comment ref="F53" authorId="0">
      <text>
        <r>
          <rPr>
            <b/>
            <sz val="8"/>
            <rFont val="Tahoma"/>
            <family val="2"/>
          </rPr>
          <t>Jeff Munic:</t>
        </r>
        <r>
          <rPr>
            <sz val="8"/>
            <rFont val="Tahoma"/>
            <family val="2"/>
          </rPr>
          <t xml:space="preserve">
30% of the stoichiometric amounts for ethane and methane remain after reaction.</t>
        </r>
      </text>
    </comment>
    <comment ref="H80" authorId="0">
      <text>
        <r>
          <rPr>
            <b/>
            <sz val="8"/>
            <rFont val="Tahoma"/>
            <family val="2"/>
          </rPr>
          <t>Jeff Munic:</t>
        </r>
        <r>
          <rPr>
            <sz val="8"/>
            <rFont val="Tahoma"/>
            <family val="2"/>
          </rPr>
          <t xml:space="preserve">
The integral evaluated at the lower limit of integration.</t>
        </r>
      </text>
    </comment>
    <comment ref="I80" authorId="0">
      <text>
        <r>
          <rPr>
            <b/>
            <sz val="8"/>
            <rFont val="Tahoma"/>
            <family val="2"/>
          </rPr>
          <t>Jeff Munic:</t>
        </r>
        <r>
          <rPr>
            <sz val="8"/>
            <rFont val="Tahoma"/>
            <family val="2"/>
          </rPr>
          <t xml:space="preserve">
The integral evaluated at the upper limit of integration.</t>
        </r>
      </text>
    </comment>
  </commentList>
</comments>
</file>

<file path=xl/sharedStrings.xml><?xml version="1.0" encoding="utf-8"?>
<sst xmlns="http://schemas.openxmlformats.org/spreadsheetml/2006/main" count="1424" uniqueCount="687">
  <si>
    <t>Outline of Solution</t>
  </si>
  <si>
    <t>1)  Balance Combustion Equations</t>
  </si>
  <si>
    <t>2)  Mass balance to get moles of each component in and out</t>
  </si>
  <si>
    <t>Notation</t>
  </si>
  <si>
    <r>
      <t>T- Theoretical Temperature (</t>
    </r>
    <r>
      <rPr>
        <vertAlign val="superscript"/>
        <sz val="10"/>
        <rFont val="Arial"/>
        <family val="2"/>
      </rPr>
      <t>o</t>
    </r>
    <r>
      <rPr>
        <sz val="10"/>
        <rFont val="Arial"/>
        <family val="2"/>
      </rPr>
      <t>F)</t>
    </r>
  </si>
  <si>
    <t>Use 1 mole of fuel mixture as basis</t>
  </si>
  <si>
    <t>Balance Equations</t>
  </si>
  <si>
    <t>4)  Find the temperature of the combustion process where</t>
  </si>
  <si>
    <t>m</t>
  </si>
  <si>
    <t>n</t>
  </si>
  <si>
    <r>
      <t>H</t>
    </r>
    <r>
      <rPr>
        <vertAlign val="subscript"/>
        <sz val="10"/>
        <rFont val="Arial"/>
        <family val="2"/>
      </rPr>
      <t>2</t>
    </r>
    <r>
      <rPr>
        <sz val="10"/>
        <rFont val="Arial"/>
        <family val="2"/>
      </rPr>
      <t>O</t>
    </r>
  </si>
  <si>
    <r>
      <t>1 CH</t>
    </r>
    <r>
      <rPr>
        <vertAlign val="subscript"/>
        <sz val="10"/>
        <rFont val="Arial"/>
        <family val="2"/>
      </rPr>
      <t>4</t>
    </r>
    <r>
      <rPr>
        <sz val="10"/>
        <rFont val="Arial"/>
        <family val="2"/>
      </rPr>
      <t xml:space="preserve"> +</t>
    </r>
  </si>
  <si>
    <r>
      <t>1 C</t>
    </r>
    <r>
      <rPr>
        <vertAlign val="subscript"/>
        <sz val="10"/>
        <rFont val="Arial"/>
        <family val="2"/>
      </rPr>
      <t>2</t>
    </r>
    <r>
      <rPr>
        <sz val="10"/>
        <rFont val="Arial"/>
        <family val="2"/>
      </rPr>
      <t>H</t>
    </r>
    <r>
      <rPr>
        <vertAlign val="subscript"/>
        <sz val="10"/>
        <rFont val="Arial"/>
        <family val="2"/>
      </rPr>
      <t>6</t>
    </r>
    <r>
      <rPr>
        <sz val="10"/>
        <rFont val="Arial"/>
        <family val="2"/>
      </rPr>
      <t xml:space="preserve"> +</t>
    </r>
  </si>
  <si>
    <t>with 30% Excess air and 1 mole basis</t>
  </si>
  <si>
    <r>
      <t>CH</t>
    </r>
    <r>
      <rPr>
        <vertAlign val="subscript"/>
        <sz val="10"/>
        <rFont val="Arial"/>
        <family val="2"/>
      </rPr>
      <t>4</t>
    </r>
    <r>
      <rPr>
        <sz val="10"/>
        <rFont val="Arial"/>
        <family val="2"/>
      </rPr>
      <t xml:space="preserve"> in:</t>
    </r>
  </si>
  <si>
    <r>
      <t>C</t>
    </r>
    <r>
      <rPr>
        <vertAlign val="subscript"/>
        <sz val="10"/>
        <rFont val="Arial"/>
        <family val="2"/>
      </rPr>
      <t>2</t>
    </r>
    <r>
      <rPr>
        <sz val="10"/>
        <rFont val="Arial"/>
        <family val="2"/>
      </rPr>
      <t>H</t>
    </r>
    <r>
      <rPr>
        <vertAlign val="subscript"/>
        <sz val="10"/>
        <rFont val="Arial"/>
        <family val="2"/>
      </rPr>
      <t>6</t>
    </r>
    <r>
      <rPr>
        <sz val="10"/>
        <rFont val="Arial"/>
        <family val="2"/>
      </rPr>
      <t xml:space="preserve"> in:</t>
    </r>
  </si>
  <si>
    <t>moles</t>
  </si>
  <si>
    <r>
      <t>O</t>
    </r>
    <r>
      <rPr>
        <vertAlign val="subscript"/>
        <sz val="10"/>
        <rFont val="Arial"/>
        <family val="2"/>
      </rPr>
      <t>2</t>
    </r>
    <r>
      <rPr>
        <sz val="10"/>
        <rFont val="Arial"/>
        <family val="2"/>
      </rPr>
      <t xml:space="preserve"> in:</t>
    </r>
  </si>
  <si>
    <t xml:space="preserve"> </t>
  </si>
  <si>
    <t>0.04 + (.79/.21)(2.613)</t>
  </si>
  <si>
    <r>
      <t>N</t>
    </r>
    <r>
      <rPr>
        <vertAlign val="subscript"/>
        <sz val="10"/>
        <rFont val="Arial"/>
        <family val="2"/>
      </rPr>
      <t>2</t>
    </r>
    <r>
      <rPr>
        <sz val="10"/>
        <rFont val="Arial"/>
        <family val="2"/>
      </rPr>
      <t xml:space="preserve"> in:</t>
    </r>
  </si>
  <si>
    <t>Material Balance</t>
  </si>
  <si>
    <r>
      <t>CO</t>
    </r>
    <r>
      <rPr>
        <vertAlign val="subscript"/>
        <sz val="10"/>
        <rFont val="Arial"/>
        <family val="2"/>
      </rPr>
      <t>2</t>
    </r>
    <r>
      <rPr>
        <sz val="10"/>
        <rFont val="Arial"/>
        <family val="2"/>
      </rPr>
      <t xml:space="preserve"> out:</t>
    </r>
    <r>
      <rPr>
        <sz val="10"/>
        <rFont val="Arial"/>
        <family val="2"/>
      </rPr>
      <t xml:space="preserve"> </t>
    </r>
  </si>
  <si>
    <t>(1)(0.9)+(2)(0.06)</t>
  </si>
  <si>
    <r>
      <t>H</t>
    </r>
    <r>
      <rPr>
        <vertAlign val="subscript"/>
        <sz val="10"/>
        <rFont val="Arial"/>
        <family val="2"/>
      </rPr>
      <t>2</t>
    </r>
    <r>
      <rPr>
        <sz val="10"/>
        <rFont val="Arial"/>
        <family val="2"/>
      </rPr>
      <t>O out:</t>
    </r>
  </si>
  <si>
    <t>(2)(.9)+(3)(.06)</t>
  </si>
  <si>
    <t>O2 out:</t>
  </si>
  <si>
    <t>0.3*((2)(0.09)+(0.06)(3.5))</t>
  </si>
  <si>
    <t>30% remaining</t>
  </si>
  <si>
    <t>Summary</t>
  </si>
  <si>
    <r>
      <t>CH</t>
    </r>
    <r>
      <rPr>
        <vertAlign val="subscript"/>
        <sz val="10"/>
        <rFont val="Arial"/>
        <family val="2"/>
      </rPr>
      <t>4</t>
    </r>
  </si>
  <si>
    <r>
      <t>C</t>
    </r>
    <r>
      <rPr>
        <vertAlign val="subscript"/>
        <sz val="10"/>
        <rFont val="Arial"/>
        <family val="2"/>
      </rPr>
      <t>2</t>
    </r>
    <r>
      <rPr>
        <sz val="10"/>
        <rFont val="Arial"/>
        <family val="2"/>
      </rPr>
      <t>H</t>
    </r>
    <r>
      <rPr>
        <vertAlign val="subscript"/>
        <sz val="10"/>
        <rFont val="Arial"/>
        <family val="2"/>
      </rPr>
      <t>6</t>
    </r>
  </si>
  <si>
    <r>
      <t>O</t>
    </r>
    <r>
      <rPr>
        <vertAlign val="subscript"/>
        <sz val="10"/>
        <rFont val="Arial"/>
        <family val="2"/>
      </rPr>
      <t>2</t>
    </r>
  </si>
  <si>
    <r>
      <t>N</t>
    </r>
    <r>
      <rPr>
        <vertAlign val="subscript"/>
        <sz val="10"/>
        <rFont val="Arial"/>
        <family val="2"/>
      </rPr>
      <t>2</t>
    </r>
  </si>
  <si>
    <t>(moles)</t>
  </si>
  <si>
    <r>
      <t>N</t>
    </r>
    <r>
      <rPr>
        <vertAlign val="subscript"/>
        <sz val="10"/>
        <rFont val="Arial"/>
        <family val="2"/>
      </rPr>
      <t>2</t>
    </r>
    <r>
      <rPr>
        <sz val="10"/>
        <rFont val="Arial"/>
        <family val="2"/>
      </rPr>
      <t xml:space="preserve"> out:</t>
    </r>
  </si>
  <si>
    <t>inert component, in=out</t>
  </si>
  <si>
    <t>Heat Capacity</t>
  </si>
  <si>
    <t>"</t>
  </si>
  <si>
    <t>$</t>
  </si>
  <si>
    <t>(</t>
  </si>
  <si>
    <r>
      <t>o</t>
    </r>
    <r>
      <rPr>
        <sz val="10"/>
        <rFont val="Arial"/>
        <family val="2"/>
      </rPr>
      <t>F</t>
    </r>
  </si>
  <si>
    <t>initial guess</t>
  </si>
  <si>
    <r>
      <t>o</t>
    </r>
    <r>
      <rPr>
        <sz val="10"/>
        <rFont val="Arial"/>
        <family val="2"/>
      </rPr>
      <t>K</t>
    </r>
  </si>
  <si>
    <r>
      <t>T</t>
    </r>
    <r>
      <rPr>
        <vertAlign val="subscript"/>
        <sz val="10"/>
        <rFont val="Arial"/>
        <family val="2"/>
      </rPr>
      <t>calc</t>
    </r>
    <r>
      <rPr>
        <sz val="10"/>
        <rFont val="Arial"/>
        <family val="2"/>
      </rPr>
      <t xml:space="preserve"> =</t>
    </r>
  </si>
  <si>
    <r>
      <t>T</t>
    </r>
    <r>
      <rPr>
        <vertAlign val="subscript"/>
        <sz val="10"/>
        <rFont val="Arial"/>
        <family val="2"/>
      </rPr>
      <t>in</t>
    </r>
    <r>
      <rPr>
        <sz val="10"/>
        <rFont val="Arial"/>
        <family val="2"/>
      </rPr>
      <t xml:space="preserve"> = </t>
    </r>
  </si>
  <si>
    <t>(BTU/mole)</t>
  </si>
  <si>
    <r>
      <t>T</t>
    </r>
    <r>
      <rPr>
        <vertAlign val="subscript"/>
        <sz val="10"/>
        <rFont val="Arial"/>
        <family val="2"/>
      </rPr>
      <t>guess</t>
    </r>
    <r>
      <rPr>
        <sz val="10"/>
        <rFont val="Arial"/>
        <family val="2"/>
      </rPr>
      <t>=</t>
    </r>
  </si>
  <si>
    <r>
      <t>C</t>
    </r>
    <r>
      <rPr>
        <vertAlign val="subscript"/>
        <sz val="10"/>
        <rFont val="Arial"/>
        <family val="2"/>
      </rPr>
      <t>p,mean</t>
    </r>
    <r>
      <rPr>
        <sz val="10"/>
        <rFont val="Arial"/>
        <family val="2"/>
      </rPr>
      <t xml:space="preserve"> </t>
    </r>
  </si>
  <si>
    <t>Tcalc - Tguess =</t>
  </si>
  <si>
    <t>Set Cell:</t>
  </si>
  <si>
    <t>To Value:</t>
  </si>
  <si>
    <t>sets Tcalc - Tguess = 0</t>
  </si>
  <si>
    <t>Change guess until convergence</t>
  </si>
  <si>
    <t>Fuel Components</t>
  </si>
  <si>
    <t>Inorganics</t>
  </si>
  <si>
    <t>Fuel</t>
  </si>
  <si>
    <r>
      <t>Integral of C</t>
    </r>
    <r>
      <rPr>
        <vertAlign val="subscript"/>
        <sz val="10"/>
        <rFont val="Arial"/>
        <family val="2"/>
      </rPr>
      <t>p</t>
    </r>
    <r>
      <rPr>
        <sz val="10"/>
        <rFont val="Arial"/>
        <family val="2"/>
      </rPr>
      <t xml:space="preserve"> at 90</t>
    </r>
    <r>
      <rPr>
        <vertAlign val="superscript"/>
        <sz val="10"/>
        <rFont val="Arial"/>
        <family val="2"/>
      </rPr>
      <t>o</t>
    </r>
    <r>
      <rPr>
        <sz val="10"/>
        <rFont val="Arial"/>
        <family val="2"/>
      </rPr>
      <t>F</t>
    </r>
  </si>
  <si>
    <r>
      <t>Integral of C</t>
    </r>
    <r>
      <rPr>
        <vertAlign val="subscript"/>
        <sz val="10"/>
        <rFont val="Arial"/>
        <family val="2"/>
      </rPr>
      <t>p</t>
    </r>
    <r>
      <rPr>
        <sz val="10"/>
        <rFont val="Arial"/>
        <family val="2"/>
      </rPr>
      <t xml:space="preserve"> at T</t>
    </r>
  </si>
  <si>
    <r>
      <t>o</t>
    </r>
    <r>
      <rPr>
        <b/>
        <sz val="10"/>
        <color indexed="12"/>
        <rFont val="Arial"/>
        <family val="2"/>
      </rPr>
      <t>F</t>
    </r>
  </si>
  <si>
    <t>LHV</t>
  </si>
  <si>
    <t>Total LHV=</t>
  </si>
  <si>
    <r>
      <t>30% above Stoichiometric for CH</t>
    </r>
    <r>
      <rPr>
        <vertAlign val="subscript"/>
        <sz val="10"/>
        <color indexed="12"/>
        <rFont val="Arial"/>
        <family val="2"/>
      </rPr>
      <t>2</t>
    </r>
    <r>
      <rPr>
        <sz val="10"/>
        <color indexed="12"/>
        <rFont val="Arial"/>
        <family val="2"/>
      </rPr>
      <t xml:space="preserve"> and C</t>
    </r>
    <r>
      <rPr>
        <vertAlign val="subscript"/>
        <sz val="10"/>
        <color indexed="12"/>
        <rFont val="Arial"/>
        <family val="2"/>
      </rPr>
      <t>2</t>
    </r>
    <r>
      <rPr>
        <sz val="10"/>
        <color indexed="12"/>
        <rFont val="Arial"/>
        <family val="2"/>
      </rPr>
      <t>H</t>
    </r>
    <r>
      <rPr>
        <vertAlign val="subscript"/>
        <sz val="10"/>
        <color indexed="12"/>
        <rFont val="Arial"/>
        <family val="2"/>
      </rPr>
      <t>6</t>
    </r>
    <r>
      <rPr>
        <sz val="10"/>
        <color indexed="12"/>
        <rFont val="Arial"/>
        <family val="2"/>
      </rPr>
      <t xml:space="preserve"> </t>
    </r>
  </si>
  <si>
    <t>LHV - Heat of Combustion, Lower Heating Value (BTU/mole)</t>
  </si>
  <si>
    <t>Mass In</t>
  </si>
  <si>
    <t>Mass Out</t>
  </si>
  <si>
    <t>A mixture of 90% methane, 6% ethane and 4% nitrogen is burned with 30% excess air.  What is the adiabatic flame temperature if the entering air and fuel mixture are at 90 degrees F? This example comes from Robinson, Chemical Engineering Practice Set, 2nd Ed., Problem 6-5.  However, the solution method is a little more elaborate and precise then the one presented by Robinson.</t>
  </si>
  <si>
    <t>5) Solve iteratively for temperature</t>
  </si>
  <si>
    <t>Solution:    T=</t>
  </si>
  <si>
    <t>Calculate the flame temperature</t>
  </si>
  <si>
    <t>Find the average heat capacity over temperature range by using the average value of a function in Calculus.</t>
  </si>
  <si>
    <r>
      <t>Heat Capacity Data From</t>
    </r>
    <r>
      <rPr>
        <i/>
        <sz val="10"/>
        <rFont val="Arial"/>
        <family val="2"/>
      </rPr>
      <t xml:space="preserve"> Smith and Van Ness, Introduction to Chemical Engineering Thermodynamics, 3rd ed. p 106-107. </t>
    </r>
    <r>
      <rPr>
        <sz val="10"/>
        <rFont val="Arial"/>
        <family val="2"/>
      </rPr>
      <t>Polynomial correlation with 3 coefficients. Temperature in degree K and heat capacity in units of BTU/(lb mole- deg F). Organics and inorganics have a different form of the equation.</t>
    </r>
  </si>
  <si>
    <t>Use Tool | Goal Seek to Solve Iteratively</t>
  </si>
  <si>
    <t>Combustion air =</t>
  </si>
  <si>
    <t>(359 std ft3/lbmole)(moles O2 + moles N2)</t>
  </si>
  <si>
    <r>
      <t>Std ft</t>
    </r>
    <r>
      <rPr>
        <vertAlign val="superscript"/>
        <sz val="10"/>
        <rFont val="Arial"/>
        <family val="2"/>
      </rPr>
      <t>3</t>
    </r>
    <r>
      <rPr>
        <sz val="10"/>
        <rFont val="Arial"/>
        <family val="2"/>
      </rPr>
      <t xml:space="preserve"> air /mole of fuel</t>
    </r>
  </si>
  <si>
    <t>C81</t>
  </si>
  <si>
    <t>F65</t>
  </si>
  <si>
    <t>fuel-mixture nitrogen plus nitrogen from combustion air</t>
  </si>
  <si>
    <t>Change value is Cell F65 for iteration</t>
  </si>
  <si>
    <r>
      <t>alter guess until T</t>
    </r>
    <r>
      <rPr>
        <vertAlign val="subscript"/>
        <sz val="10"/>
        <color indexed="12"/>
        <rFont val="Arial"/>
        <family val="2"/>
      </rPr>
      <t>guess</t>
    </r>
    <r>
      <rPr>
        <sz val="10"/>
        <color indexed="12"/>
        <rFont val="Arial"/>
        <family val="2"/>
      </rPr>
      <t xml:space="preserve"> = T</t>
    </r>
    <r>
      <rPr>
        <vertAlign val="subscript"/>
        <sz val="10"/>
        <color indexed="12"/>
        <rFont val="Arial"/>
        <family val="2"/>
      </rPr>
      <t>calc</t>
    </r>
    <r>
      <rPr>
        <sz val="10"/>
        <color indexed="12"/>
        <rFont val="Arial"/>
        <family val="2"/>
      </rPr>
      <t xml:space="preserve">   ( or T</t>
    </r>
    <r>
      <rPr>
        <vertAlign val="subscript"/>
        <sz val="10"/>
        <color indexed="12"/>
        <rFont val="Arial"/>
        <family val="2"/>
      </rPr>
      <t>guess</t>
    </r>
    <r>
      <rPr>
        <sz val="10"/>
        <color indexed="12"/>
        <rFont val="Arial"/>
        <family val="2"/>
      </rPr>
      <t xml:space="preserve"> - T</t>
    </r>
    <r>
      <rPr>
        <vertAlign val="subscript"/>
        <sz val="10"/>
        <color indexed="12"/>
        <rFont val="Arial"/>
        <family val="2"/>
      </rPr>
      <t>calc</t>
    </r>
    <r>
      <rPr>
        <sz val="10"/>
        <color indexed="12"/>
        <rFont val="Arial"/>
        <family val="2"/>
      </rPr>
      <t xml:space="preserve"> =0)</t>
    </r>
  </si>
  <si>
    <t>m - # of carbon atoms in molecule</t>
  </si>
  <si>
    <t>n- # of hydrogen atoms in molecule</t>
  </si>
  <si>
    <t>1.3*((2)(0.09)+(3.5)(0.06))</t>
  </si>
  <si>
    <t>Adiabatic Flame Temperature Calculation</t>
  </si>
  <si>
    <t>Component</t>
  </si>
  <si>
    <t>Formula</t>
  </si>
  <si>
    <t>Elements</t>
  </si>
  <si>
    <t>Heat Capacity Coefficents</t>
  </si>
  <si>
    <t>(lb/lbmole)</t>
  </si>
  <si>
    <t>Net Heat of Combustion</t>
  </si>
  <si>
    <t>Molecular Wt.</t>
  </si>
  <si>
    <t>(BTU/lb.)</t>
  </si>
  <si>
    <t>Methane</t>
  </si>
  <si>
    <t>Ethane</t>
  </si>
  <si>
    <t>Propane</t>
  </si>
  <si>
    <t>Ethylene</t>
  </si>
  <si>
    <t>Propylene</t>
  </si>
  <si>
    <r>
      <t>n</t>
    </r>
    <r>
      <rPr>
        <sz val="10"/>
        <rFont val="Arial"/>
        <family val="2"/>
      </rPr>
      <t>-Butene</t>
    </r>
  </si>
  <si>
    <r>
      <t>n</t>
    </r>
    <r>
      <rPr>
        <sz val="10"/>
        <rFont val="Arial"/>
        <family val="2"/>
      </rPr>
      <t>-Pentene</t>
    </r>
  </si>
  <si>
    <t>Acetylene</t>
  </si>
  <si>
    <t>Benzene</t>
  </si>
  <si>
    <t>Toluene</t>
  </si>
  <si>
    <t>Ethanol</t>
  </si>
  <si>
    <t>Oxygen</t>
  </si>
  <si>
    <t>Water</t>
  </si>
  <si>
    <t>Carbon Dioxide</t>
  </si>
  <si>
    <t>Nitrogen</t>
  </si>
  <si>
    <r>
      <t>CH</t>
    </r>
    <r>
      <rPr>
        <vertAlign val="subscript"/>
        <sz val="10"/>
        <rFont val="Arial"/>
        <family val="2"/>
      </rPr>
      <t>4</t>
    </r>
    <r>
      <rPr>
        <sz val="10"/>
        <rFont val="Arial"/>
        <family val="2"/>
      </rPr>
      <t xml:space="preserve"> </t>
    </r>
  </si>
  <si>
    <r>
      <t>C</t>
    </r>
    <r>
      <rPr>
        <vertAlign val="subscript"/>
        <sz val="10"/>
        <rFont val="Arial"/>
        <family val="2"/>
      </rPr>
      <t>2</t>
    </r>
    <r>
      <rPr>
        <sz val="10"/>
        <rFont val="Arial"/>
        <family val="2"/>
      </rPr>
      <t>H</t>
    </r>
    <r>
      <rPr>
        <vertAlign val="subscript"/>
        <sz val="10"/>
        <rFont val="Arial"/>
        <family val="2"/>
      </rPr>
      <t>6</t>
    </r>
    <r>
      <rPr>
        <sz val="10"/>
        <rFont val="Arial"/>
        <family val="2"/>
      </rPr>
      <t xml:space="preserve"> </t>
    </r>
  </si>
  <si>
    <r>
      <t>C</t>
    </r>
    <r>
      <rPr>
        <vertAlign val="subscript"/>
        <sz val="10"/>
        <rFont val="Arial"/>
        <family val="2"/>
      </rPr>
      <t>3</t>
    </r>
    <r>
      <rPr>
        <sz val="10"/>
        <rFont val="Arial"/>
        <family val="2"/>
      </rPr>
      <t>H</t>
    </r>
    <r>
      <rPr>
        <vertAlign val="subscript"/>
        <sz val="10"/>
        <rFont val="Arial"/>
        <family val="2"/>
      </rPr>
      <t>8</t>
    </r>
    <r>
      <rPr>
        <sz val="10"/>
        <rFont val="Arial"/>
        <family val="2"/>
      </rPr>
      <t xml:space="preserve"> </t>
    </r>
  </si>
  <si>
    <t>(m)</t>
  </si>
  <si>
    <t>C</t>
  </si>
  <si>
    <t>H</t>
  </si>
  <si>
    <t>(n)</t>
  </si>
  <si>
    <t>O</t>
  </si>
  <si>
    <t>(p)</t>
  </si>
  <si>
    <r>
      <t>C</t>
    </r>
    <r>
      <rPr>
        <vertAlign val="subscript"/>
        <sz val="10"/>
        <rFont val="Arial"/>
        <family val="2"/>
      </rPr>
      <t>5</t>
    </r>
    <r>
      <rPr>
        <sz val="10"/>
        <rFont val="Arial"/>
        <family val="2"/>
      </rPr>
      <t>H</t>
    </r>
    <r>
      <rPr>
        <vertAlign val="subscript"/>
        <sz val="10"/>
        <rFont val="Arial"/>
        <family val="2"/>
      </rPr>
      <t>12</t>
    </r>
    <r>
      <rPr>
        <sz val="10"/>
        <rFont val="Arial"/>
        <family val="2"/>
      </rPr>
      <t xml:space="preserve"> </t>
    </r>
  </si>
  <si>
    <r>
      <t>C</t>
    </r>
    <r>
      <rPr>
        <vertAlign val="subscript"/>
        <sz val="10"/>
        <rFont val="Arial"/>
        <family val="2"/>
      </rPr>
      <t>4</t>
    </r>
    <r>
      <rPr>
        <sz val="10"/>
        <rFont val="Arial"/>
        <family val="2"/>
      </rPr>
      <t>H</t>
    </r>
    <r>
      <rPr>
        <vertAlign val="subscript"/>
        <sz val="10"/>
        <rFont val="Arial"/>
        <family val="2"/>
      </rPr>
      <t>10</t>
    </r>
    <r>
      <rPr>
        <sz val="10"/>
        <rFont val="Arial"/>
        <family val="2"/>
      </rPr>
      <t xml:space="preserve"> </t>
    </r>
  </si>
  <si>
    <r>
      <t>C</t>
    </r>
    <r>
      <rPr>
        <vertAlign val="subscript"/>
        <sz val="10"/>
        <rFont val="Arial"/>
        <family val="2"/>
      </rPr>
      <t>6</t>
    </r>
    <r>
      <rPr>
        <sz val="10"/>
        <rFont val="Arial"/>
        <family val="2"/>
      </rPr>
      <t>H</t>
    </r>
    <r>
      <rPr>
        <vertAlign val="subscript"/>
        <sz val="10"/>
        <rFont val="Arial"/>
        <family val="2"/>
      </rPr>
      <t>14</t>
    </r>
    <r>
      <rPr>
        <sz val="10"/>
        <rFont val="Arial"/>
        <family val="2"/>
      </rPr>
      <t xml:space="preserve"> </t>
    </r>
  </si>
  <si>
    <t>Pick fuel components for dropdown list (highlighted in yellow)</t>
  </si>
  <si>
    <t>MW</t>
  </si>
  <si>
    <t>Net Heat of Comb.</t>
  </si>
  <si>
    <t>-</t>
  </si>
  <si>
    <t>Other</t>
  </si>
  <si>
    <t>Mole Fraction in Fuel</t>
  </si>
  <si>
    <r>
      <t>n</t>
    </r>
    <r>
      <rPr>
        <sz val="10"/>
        <rFont val="Arial"/>
        <family val="2"/>
      </rPr>
      <t>-Butane</t>
    </r>
  </si>
  <si>
    <r>
      <t>n</t>
    </r>
    <r>
      <rPr>
        <sz val="10"/>
        <rFont val="Arial"/>
        <family val="2"/>
      </rPr>
      <t>-Pentane</t>
    </r>
  </si>
  <si>
    <r>
      <t>n</t>
    </r>
    <r>
      <rPr>
        <sz val="10"/>
        <rFont val="Arial"/>
        <family val="2"/>
      </rPr>
      <t>-Hexane</t>
    </r>
  </si>
  <si>
    <r>
      <t>C</t>
    </r>
    <r>
      <rPr>
        <vertAlign val="subscript"/>
        <sz val="10"/>
        <rFont val="Arial"/>
        <family val="2"/>
      </rPr>
      <t>2</t>
    </r>
    <r>
      <rPr>
        <sz val="10"/>
        <rFont val="Arial"/>
        <family val="2"/>
      </rPr>
      <t>H</t>
    </r>
    <r>
      <rPr>
        <vertAlign val="subscript"/>
        <sz val="10"/>
        <rFont val="Arial"/>
        <family val="2"/>
      </rPr>
      <t>4</t>
    </r>
    <r>
      <rPr>
        <sz val="10"/>
        <rFont val="Arial"/>
        <family val="2"/>
      </rPr>
      <t xml:space="preserve"> </t>
    </r>
  </si>
  <si>
    <r>
      <t>C</t>
    </r>
    <r>
      <rPr>
        <vertAlign val="subscript"/>
        <sz val="10"/>
        <rFont val="Arial"/>
        <family val="2"/>
      </rPr>
      <t>3</t>
    </r>
    <r>
      <rPr>
        <sz val="10"/>
        <rFont val="Arial"/>
        <family val="2"/>
      </rPr>
      <t>H</t>
    </r>
    <r>
      <rPr>
        <vertAlign val="subscript"/>
        <sz val="10"/>
        <rFont val="Arial"/>
        <family val="2"/>
      </rPr>
      <t>6</t>
    </r>
    <r>
      <rPr>
        <sz val="10"/>
        <rFont val="Arial"/>
        <family val="2"/>
      </rPr>
      <t xml:space="preserve"> </t>
    </r>
  </si>
  <si>
    <t>Total</t>
  </si>
  <si>
    <r>
      <t>C</t>
    </r>
    <r>
      <rPr>
        <vertAlign val="subscript"/>
        <sz val="10"/>
        <rFont val="Arial"/>
        <family val="2"/>
      </rPr>
      <t>4</t>
    </r>
    <r>
      <rPr>
        <sz val="10"/>
        <rFont val="Arial"/>
        <family val="2"/>
      </rPr>
      <t>H</t>
    </r>
    <r>
      <rPr>
        <vertAlign val="subscript"/>
        <sz val="10"/>
        <rFont val="Arial"/>
        <family val="2"/>
      </rPr>
      <t>8</t>
    </r>
    <r>
      <rPr>
        <sz val="10"/>
        <rFont val="Arial"/>
        <family val="2"/>
      </rPr>
      <t xml:space="preserve"> </t>
    </r>
  </si>
  <si>
    <r>
      <t>C</t>
    </r>
    <r>
      <rPr>
        <vertAlign val="subscript"/>
        <sz val="10"/>
        <rFont val="Arial"/>
        <family val="2"/>
      </rPr>
      <t>5</t>
    </r>
    <r>
      <rPr>
        <sz val="10"/>
        <rFont val="Arial"/>
        <family val="2"/>
      </rPr>
      <t>H</t>
    </r>
    <r>
      <rPr>
        <vertAlign val="subscript"/>
        <sz val="10"/>
        <rFont val="Arial"/>
        <family val="2"/>
      </rPr>
      <t>10</t>
    </r>
    <r>
      <rPr>
        <sz val="10"/>
        <rFont val="Arial"/>
        <family val="2"/>
      </rPr>
      <t xml:space="preserve"> </t>
    </r>
  </si>
  <si>
    <r>
      <t>C</t>
    </r>
    <r>
      <rPr>
        <vertAlign val="subscript"/>
        <sz val="10"/>
        <rFont val="Arial"/>
        <family val="2"/>
      </rPr>
      <t>2</t>
    </r>
    <r>
      <rPr>
        <sz val="10"/>
        <rFont val="Arial"/>
        <family val="2"/>
      </rPr>
      <t>H</t>
    </r>
    <r>
      <rPr>
        <vertAlign val="subscript"/>
        <sz val="10"/>
        <rFont val="Arial"/>
        <family val="2"/>
      </rPr>
      <t>2</t>
    </r>
    <r>
      <rPr>
        <sz val="10"/>
        <rFont val="Arial"/>
        <family val="2"/>
      </rPr>
      <t xml:space="preserve"> </t>
    </r>
  </si>
  <si>
    <r>
      <t>C</t>
    </r>
    <r>
      <rPr>
        <vertAlign val="subscript"/>
        <sz val="10"/>
        <rFont val="Arial"/>
        <family val="2"/>
      </rPr>
      <t>6</t>
    </r>
    <r>
      <rPr>
        <sz val="10"/>
        <rFont val="Arial"/>
        <family val="2"/>
      </rPr>
      <t>H</t>
    </r>
    <r>
      <rPr>
        <vertAlign val="subscript"/>
        <sz val="10"/>
        <rFont val="Arial"/>
        <family val="2"/>
      </rPr>
      <t>6</t>
    </r>
    <r>
      <rPr>
        <sz val="10"/>
        <rFont val="Arial"/>
        <family val="2"/>
      </rPr>
      <t xml:space="preserve"> </t>
    </r>
  </si>
  <si>
    <r>
      <t>C</t>
    </r>
    <r>
      <rPr>
        <vertAlign val="subscript"/>
        <sz val="10"/>
        <rFont val="Arial"/>
        <family val="2"/>
      </rPr>
      <t>7</t>
    </r>
    <r>
      <rPr>
        <sz val="10"/>
        <rFont val="Arial"/>
        <family val="2"/>
      </rPr>
      <t>H</t>
    </r>
    <r>
      <rPr>
        <vertAlign val="subscript"/>
        <sz val="10"/>
        <rFont val="Arial"/>
        <family val="2"/>
      </rPr>
      <t>8</t>
    </r>
    <r>
      <rPr>
        <sz val="10"/>
        <rFont val="Arial"/>
        <family val="2"/>
      </rPr>
      <t xml:space="preserve"> </t>
    </r>
  </si>
  <si>
    <r>
      <t>C</t>
    </r>
    <r>
      <rPr>
        <vertAlign val="subscript"/>
        <sz val="10"/>
        <rFont val="Arial"/>
        <family val="2"/>
      </rPr>
      <t>2</t>
    </r>
    <r>
      <rPr>
        <sz val="10"/>
        <rFont val="Arial"/>
        <family val="2"/>
      </rPr>
      <t>H</t>
    </r>
    <r>
      <rPr>
        <vertAlign val="subscript"/>
        <sz val="10"/>
        <rFont val="Arial"/>
        <family val="2"/>
      </rPr>
      <t>6</t>
    </r>
    <r>
      <rPr>
        <sz val="10"/>
        <rFont val="Arial"/>
        <family val="2"/>
      </rPr>
      <t>O</t>
    </r>
    <r>
      <rPr>
        <sz val="10"/>
        <rFont val="Arial"/>
        <family val="2"/>
      </rPr>
      <t xml:space="preserve"> </t>
    </r>
  </si>
  <si>
    <t>Output Range</t>
  </si>
  <si>
    <t>Fuel Component</t>
  </si>
  <si>
    <r>
      <t xml:space="preserve">o </t>
    </r>
    <r>
      <rPr>
        <sz val="10"/>
        <rFont val="Arial"/>
        <family val="2"/>
      </rPr>
      <t>F</t>
    </r>
  </si>
  <si>
    <t>T_in=</t>
  </si>
  <si>
    <t>T_guess=</t>
  </si>
  <si>
    <t>temperature of incoming streams</t>
  </si>
  <si>
    <t>initial guess for temperature</t>
  </si>
  <si>
    <r>
      <t>H</t>
    </r>
    <r>
      <rPr>
        <vertAlign val="subscript"/>
        <sz val="10"/>
        <rFont val="Arial"/>
        <family val="2"/>
      </rPr>
      <t>2</t>
    </r>
    <r>
      <rPr>
        <sz val="10"/>
        <rFont val="Arial"/>
        <family val="2"/>
      </rPr>
      <t>0</t>
    </r>
  </si>
  <si>
    <r>
      <t>CO</t>
    </r>
    <r>
      <rPr>
        <vertAlign val="subscript"/>
        <sz val="10"/>
        <rFont val="Arial"/>
        <family val="2"/>
      </rPr>
      <t>2</t>
    </r>
  </si>
  <si>
    <t>Organic</t>
  </si>
  <si>
    <t>this should equal 1.00 (color black not red)</t>
  </si>
  <si>
    <r>
      <t>Y</t>
    </r>
    <r>
      <rPr>
        <vertAlign val="subscript"/>
        <sz val="10"/>
        <rFont val="Arial"/>
        <family val="2"/>
      </rPr>
      <t>i</t>
    </r>
    <r>
      <rPr>
        <sz val="10"/>
        <rFont val="Arial"/>
        <family val="2"/>
      </rPr>
      <t xml:space="preserve"> - Feed vapor phase mole fraction</t>
    </r>
  </si>
  <si>
    <t xml:space="preserve">Don't leave blank rows.  </t>
  </si>
  <si>
    <t>Adiabatic Flame Temperature Introduction and Example Calculation</t>
  </si>
  <si>
    <t>By changing Cell:</t>
  </si>
  <si>
    <r>
      <t>compares to 3095</t>
    </r>
    <r>
      <rPr>
        <i/>
        <vertAlign val="superscript"/>
        <sz val="10"/>
        <color indexed="12"/>
        <rFont val="Arial"/>
        <family val="2"/>
      </rPr>
      <t>o</t>
    </r>
    <r>
      <rPr>
        <i/>
        <sz val="10"/>
        <color indexed="12"/>
        <rFont val="Arial"/>
        <family val="2"/>
      </rPr>
      <t>F in Robinson Prob 6-5</t>
    </r>
  </si>
  <si>
    <t>Generally, for the equation</t>
  </si>
  <si>
    <t>A=1</t>
  </si>
  <si>
    <t>B=(4m+n-2P)/4</t>
  </si>
  <si>
    <t>C=m</t>
  </si>
  <si>
    <t>D=n/2</t>
  </si>
  <si>
    <r>
      <t>A</t>
    </r>
    <r>
      <rPr>
        <sz val="12"/>
        <rFont val="Arial"/>
        <family val="2"/>
      </rPr>
      <t xml:space="preserve"> C</t>
    </r>
    <r>
      <rPr>
        <vertAlign val="subscript"/>
        <sz val="12"/>
        <rFont val="Arial"/>
        <family val="2"/>
      </rPr>
      <t>M</t>
    </r>
    <r>
      <rPr>
        <sz val="12"/>
        <rFont val="Arial"/>
        <family val="2"/>
      </rPr>
      <t>H</t>
    </r>
    <r>
      <rPr>
        <vertAlign val="subscript"/>
        <sz val="12"/>
        <rFont val="Arial"/>
        <family val="2"/>
      </rPr>
      <t>N</t>
    </r>
    <r>
      <rPr>
        <sz val="12"/>
        <rFont val="Arial"/>
        <family val="2"/>
      </rPr>
      <t>O</t>
    </r>
    <r>
      <rPr>
        <vertAlign val="subscript"/>
        <sz val="12"/>
        <rFont val="Arial"/>
        <family val="2"/>
      </rPr>
      <t>P</t>
    </r>
    <r>
      <rPr>
        <sz val="12"/>
        <rFont val="Arial"/>
        <family val="2"/>
      </rPr>
      <t xml:space="preserve"> + </t>
    </r>
    <r>
      <rPr>
        <b/>
        <sz val="12"/>
        <rFont val="Arial"/>
        <family val="2"/>
      </rPr>
      <t>B</t>
    </r>
    <r>
      <rPr>
        <sz val="12"/>
        <rFont val="Arial"/>
        <family val="2"/>
      </rPr>
      <t xml:space="preserve"> O</t>
    </r>
    <r>
      <rPr>
        <vertAlign val="subscript"/>
        <sz val="12"/>
        <rFont val="Arial"/>
        <family val="2"/>
      </rPr>
      <t>2</t>
    </r>
    <r>
      <rPr>
        <sz val="12"/>
        <rFont val="Arial"/>
        <family val="2"/>
      </rPr>
      <t xml:space="preserve"> = </t>
    </r>
    <r>
      <rPr>
        <b/>
        <sz val="12"/>
        <rFont val="Arial"/>
        <family val="2"/>
      </rPr>
      <t>C</t>
    </r>
    <r>
      <rPr>
        <sz val="12"/>
        <rFont val="Arial"/>
        <family val="2"/>
      </rPr>
      <t xml:space="preserve"> CO</t>
    </r>
    <r>
      <rPr>
        <vertAlign val="subscript"/>
        <sz val="12"/>
        <rFont val="Arial"/>
        <family val="2"/>
      </rPr>
      <t>2</t>
    </r>
    <r>
      <rPr>
        <sz val="12"/>
        <rFont val="Arial"/>
        <family val="2"/>
      </rPr>
      <t xml:space="preserve"> + </t>
    </r>
    <r>
      <rPr>
        <b/>
        <sz val="12"/>
        <rFont val="Arial"/>
        <family val="2"/>
      </rPr>
      <t>D</t>
    </r>
    <r>
      <rPr>
        <sz val="12"/>
        <rFont val="Arial"/>
        <family val="2"/>
      </rPr>
      <t xml:space="preserve"> H</t>
    </r>
    <r>
      <rPr>
        <vertAlign val="subscript"/>
        <sz val="12"/>
        <rFont val="Arial"/>
        <family val="2"/>
      </rPr>
      <t>2</t>
    </r>
    <r>
      <rPr>
        <sz val="12"/>
        <rFont val="Arial"/>
        <family val="2"/>
      </rPr>
      <t>O</t>
    </r>
  </si>
  <si>
    <t>Specifically, for this example</t>
  </si>
  <si>
    <t>Input Section</t>
  </si>
  <si>
    <t>The following is the general calculation for flame temperature based on the calculation procedure in the example on the previous sheet.  The input section contains a dropdown list that refers to the table of fuel properties to the right of it.  The VBA macro looks for data in the input range so do not change data locations in the input range (surrounded by red).  If formatting is necessary, copy and paste special (formats and values) to another sheet and format the copied data.  Input data in yellow shaded fields and click on the button below to run the combustion calculation macro.</t>
  </si>
  <si>
    <t>Deg. F</t>
  </si>
  <si>
    <t>T=</t>
  </si>
  <si>
    <t>BTU/mole of fuel</t>
  </si>
  <si>
    <t>iterations</t>
  </si>
  <si>
    <t>click button to run program:</t>
  </si>
  <si>
    <t>Nitrogen and Oxygen are automatically added with excess air input.  Only input fuel stream components.</t>
  </si>
  <si>
    <t>Solution in:</t>
  </si>
  <si>
    <t>Combustion Air:</t>
  </si>
  <si>
    <t>SCFM/ mole fuel</t>
  </si>
  <si>
    <t>a</t>
  </si>
  <si>
    <t>b</t>
  </si>
  <si>
    <t>a * Tin + (b/2) * Tin^2  + (c/3) * Tin^3</t>
  </si>
  <si>
    <r>
      <t>Cp</t>
    </r>
    <r>
      <rPr>
        <vertAlign val="subscript"/>
        <sz val="10"/>
        <rFont val="Arial"/>
        <family val="2"/>
      </rPr>
      <t>90</t>
    </r>
    <r>
      <rPr>
        <sz val="10"/>
        <rFont val="Arial"/>
        <family val="2"/>
      </rPr>
      <t xml:space="preserve"> =</t>
    </r>
  </si>
  <si>
    <r>
      <t>Cp</t>
    </r>
    <r>
      <rPr>
        <vertAlign val="subscript"/>
        <sz val="10"/>
        <rFont val="Arial"/>
        <family val="2"/>
      </rPr>
      <t>T</t>
    </r>
    <r>
      <rPr>
        <sz val="10"/>
        <rFont val="Arial"/>
        <family val="2"/>
      </rPr>
      <t>=</t>
    </r>
  </si>
  <si>
    <t>a * T + (b/2) * T^2  + (c/3) * T^3</t>
  </si>
  <si>
    <r>
      <t>C</t>
    </r>
    <r>
      <rPr>
        <vertAlign val="subscript"/>
        <sz val="10"/>
        <rFont val="Arial"/>
        <family val="2"/>
      </rPr>
      <t>p,mean</t>
    </r>
    <r>
      <rPr>
        <sz val="10"/>
        <rFont val="Arial"/>
        <family val="2"/>
      </rPr>
      <t xml:space="preserve"> =</t>
    </r>
  </si>
  <si>
    <t xml:space="preserve"> (1/(T_K-t_K_in))*(CpT - Cp90)</t>
  </si>
  <si>
    <t>Btu/lb</t>
  </si>
  <si>
    <t>M</t>
  </si>
  <si>
    <r>
      <t>LHV</t>
    </r>
    <r>
      <rPr>
        <vertAlign val="subscript"/>
        <sz val="10"/>
        <rFont val="Arial"/>
        <family val="2"/>
      </rPr>
      <t>i</t>
    </r>
  </si>
  <si>
    <r>
      <t>Btu/mol</t>
    </r>
    <r>
      <rPr>
        <vertAlign val="subscript"/>
        <sz val="10"/>
        <rFont val="Arial"/>
        <family val="2"/>
      </rPr>
      <t>i</t>
    </r>
  </si>
  <si>
    <r>
      <t>mol</t>
    </r>
    <r>
      <rPr>
        <vertAlign val="subscript"/>
        <sz val="12"/>
        <rFont val="Arial"/>
        <family val="2"/>
      </rPr>
      <t>i</t>
    </r>
    <r>
      <rPr>
        <sz val="12"/>
        <rFont val="Arial"/>
        <family val="2"/>
      </rPr>
      <t>/mol</t>
    </r>
    <r>
      <rPr>
        <vertAlign val="subscript"/>
        <sz val="12"/>
        <rFont val="Arial"/>
        <family val="2"/>
      </rPr>
      <t>F</t>
    </r>
  </si>
  <si>
    <r>
      <t>LHV</t>
    </r>
    <r>
      <rPr>
        <vertAlign val="subscript"/>
        <sz val="10"/>
        <rFont val="Arial"/>
        <family val="2"/>
      </rPr>
      <t>i</t>
    </r>
    <r>
      <rPr>
        <sz val="10"/>
        <rFont val="Arial"/>
        <family val="2"/>
      </rPr>
      <t>*N</t>
    </r>
    <r>
      <rPr>
        <vertAlign val="subscript"/>
        <sz val="10"/>
        <rFont val="Arial"/>
        <family val="2"/>
      </rPr>
      <t>i</t>
    </r>
  </si>
  <si>
    <r>
      <t>Btu/mol</t>
    </r>
    <r>
      <rPr>
        <vertAlign val="subscript"/>
        <sz val="10"/>
        <rFont val="Arial"/>
        <family val="2"/>
      </rPr>
      <t>F</t>
    </r>
  </si>
  <si>
    <r>
      <t>T</t>
    </r>
    <r>
      <rPr>
        <vertAlign val="subscript"/>
        <sz val="12"/>
        <rFont val="Arial"/>
        <family val="2"/>
      </rPr>
      <t>inºF</t>
    </r>
    <r>
      <rPr>
        <sz val="12"/>
        <rFont val="Arial"/>
        <family val="2"/>
      </rPr>
      <t xml:space="preserve"> =</t>
    </r>
  </si>
  <si>
    <t>LHV =</t>
  </si>
  <si>
    <t>ºF</t>
  </si>
  <si>
    <t>Range(N18:W39)</t>
  </si>
  <si>
    <t xml:space="preserve">M </t>
  </si>
  <si>
    <t>Number of atoms</t>
  </si>
  <si>
    <t xml:space="preserve">comb_air = </t>
  </si>
  <si>
    <t>359 * (o2_in + n2_in - f_o2 - f_n2) ' finds in units of cfm/mole fuel</t>
  </si>
  <si>
    <t>Combustion air</t>
  </si>
  <si>
    <t>% Excess Air =</t>
  </si>
  <si>
    <t>lb/lbmol</t>
  </si>
  <si>
    <t>CO2</t>
  </si>
  <si>
    <t>Btu/molF</t>
  </si>
  <si>
    <t>Tguess =</t>
  </si>
  <si>
    <t>14.03.2018</t>
  </si>
  <si>
    <t>Gas data</t>
  </si>
  <si>
    <t>Molecular mass</t>
  </si>
  <si>
    <t>VBA function</t>
  </si>
  <si>
    <t>GasMolarMass</t>
  </si>
  <si>
    <t>Gas</t>
  </si>
  <si>
    <t>HHV</t>
  </si>
  <si>
    <t>Ref</t>
  </si>
  <si>
    <t>kg/kmol</t>
  </si>
  <si>
    <t>MJ/kg</t>
  </si>
  <si>
    <t>(Note 1)</t>
  </si>
  <si>
    <t>.@ 15.4 ºC</t>
  </si>
  <si>
    <t xml:space="preserve">Note 1. Molecular masses of H2, S,  N2, Ar, O2 and C  are taken from [1]  </t>
  </si>
  <si>
    <t>CH4</t>
  </si>
  <si>
    <t>[14]</t>
  </si>
  <si>
    <t>The rest are calculated as the sum of the mass of its atoms</t>
  </si>
  <si>
    <t>C2H6</t>
  </si>
  <si>
    <t>C3H8</t>
  </si>
  <si>
    <t>Note 2. Calculated in sheet Ref. 14, using the relation</t>
  </si>
  <si>
    <t>Butane</t>
  </si>
  <si>
    <t>C4H10</t>
  </si>
  <si>
    <t>DeltaHV =</t>
  </si>
  <si>
    <r>
      <t>44000 * NH2O (kmol</t>
    </r>
    <r>
      <rPr>
        <vertAlign val="subscript"/>
        <sz val="10"/>
        <color indexed="40"/>
        <rFont val="Arial"/>
        <family val="2"/>
      </rPr>
      <t>H2O</t>
    </r>
    <r>
      <rPr>
        <sz val="10"/>
        <color indexed="40"/>
        <rFont val="Arial"/>
        <family val="2"/>
      </rPr>
      <t>/kmol</t>
    </r>
    <r>
      <rPr>
        <vertAlign val="subscript"/>
        <sz val="10"/>
        <color indexed="40"/>
        <rFont val="Arial"/>
        <family val="2"/>
      </rPr>
      <t>F</t>
    </r>
    <r>
      <rPr>
        <sz val="10"/>
        <color indexed="40"/>
        <rFont val="Arial"/>
        <family val="2"/>
      </rPr>
      <t>) / MF (kg</t>
    </r>
    <r>
      <rPr>
        <vertAlign val="subscript"/>
        <sz val="10"/>
        <color indexed="40"/>
        <rFont val="Arial"/>
        <family val="2"/>
      </rPr>
      <t>F</t>
    </r>
    <r>
      <rPr>
        <sz val="10"/>
        <color indexed="40"/>
        <rFont val="Arial"/>
        <family val="2"/>
      </rPr>
      <t>/kmol</t>
    </r>
    <r>
      <rPr>
        <vertAlign val="subscript"/>
        <sz val="10"/>
        <color indexed="40"/>
        <rFont val="Arial"/>
        <family val="2"/>
      </rPr>
      <t>F</t>
    </r>
    <r>
      <rPr>
        <sz val="10"/>
        <color indexed="40"/>
        <rFont val="Arial"/>
        <family val="2"/>
      </rPr>
      <t>)</t>
    </r>
  </si>
  <si>
    <t>Pentane</t>
  </si>
  <si>
    <t>C5H12</t>
  </si>
  <si>
    <t>Note 2</t>
  </si>
  <si>
    <t>which consideres the evaporation enthalpy of the water in the products</t>
  </si>
  <si>
    <t>Hexane</t>
  </si>
  <si>
    <t>C6H14</t>
  </si>
  <si>
    <t>(Sheet Delta HV)</t>
  </si>
  <si>
    <t>Heptane</t>
  </si>
  <si>
    <t>C7H16</t>
  </si>
  <si>
    <t>Octane</t>
  </si>
  <si>
    <t>C8H18</t>
  </si>
  <si>
    <t>Note 3. Calculated below using Hess's law</t>
  </si>
  <si>
    <t>Nonane</t>
  </si>
  <si>
    <t>C9H20</t>
  </si>
  <si>
    <t>Decane</t>
  </si>
  <si>
    <t>C10H22</t>
  </si>
  <si>
    <t xml:space="preserve">There is no difference between the lower and higher heating values for the combustion of carbon (C), </t>
  </si>
  <si>
    <t>Undecane</t>
  </si>
  <si>
    <t>C11H24</t>
  </si>
  <si>
    <t>carbon monoxide (CO) and sulfur (S) since no water is formed in combusting those substances  (green cells)</t>
  </si>
  <si>
    <t>Dodecane</t>
  </si>
  <si>
    <t>C12H26</t>
  </si>
  <si>
    <t>Hydrogen</t>
  </si>
  <si>
    <t>H2</t>
  </si>
  <si>
    <t>Carbon monoxide</t>
  </si>
  <si>
    <t>CO</t>
  </si>
  <si>
    <t>Carbon dioxide</t>
  </si>
  <si>
    <t>Sulfur</t>
  </si>
  <si>
    <t>S</t>
  </si>
  <si>
    <t>Hidrogen sulfide</t>
  </si>
  <si>
    <t>SH2</t>
  </si>
  <si>
    <t>Note 3</t>
  </si>
  <si>
    <t>Sulfur dioxide</t>
  </si>
  <si>
    <t>SO2</t>
  </si>
  <si>
    <t>H2O</t>
  </si>
  <si>
    <t>Nirogen</t>
  </si>
  <si>
    <t>N2</t>
  </si>
  <si>
    <t>Argon</t>
  </si>
  <si>
    <t>Ar</t>
  </si>
  <si>
    <t>O2</t>
  </si>
  <si>
    <t>Carbon (graphite)</t>
  </si>
  <si>
    <t>Lower heating value of hydrogen sulfide</t>
  </si>
  <si>
    <t>SH2(g) +1.5*O2(g)  --&gt;  1*SO2(g) + 1*H2O(vap)</t>
  </si>
  <si>
    <t>SH2(g)</t>
  </si>
  <si>
    <t xml:space="preserve"> +</t>
  </si>
  <si>
    <t>O2(g)</t>
  </si>
  <si>
    <t xml:space="preserve">  --&gt;</t>
  </si>
  <si>
    <t>CO2(g)</t>
  </si>
  <si>
    <t xml:space="preserve">  +</t>
  </si>
  <si>
    <t>H2O(g)</t>
  </si>
  <si>
    <r>
      <rPr>
        <sz val="11"/>
        <color indexed="8"/>
        <rFont val="Symbol"/>
        <family val="1"/>
      </rPr>
      <t>D</t>
    </r>
    <r>
      <rPr>
        <sz val="10"/>
        <rFont val="Arial"/>
        <family val="2"/>
      </rPr>
      <t>h</t>
    </r>
    <r>
      <rPr>
        <vertAlign val="subscript"/>
        <sz val="11"/>
        <color indexed="8"/>
        <rFont val="Calibri"/>
        <family val="2"/>
      </rPr>
      <t>reaction</t>
    </r>
    <r>
      <rPr>
        <sz val="10"/>
        <rFont val="Arial"/>
        <family val="2"/>
      </rPr>
      <t xml:space="preserve"> =</t>
    </r>
  </si>
  <si>
    <t xml:space="preserve">    -</t>
  </si>
  <si>
    <t>kJ/mol</t>
  </si>
  <si>
    <t>kJ/kmol</t>
  </si>
  <si>
    <t>M =</t>
  </si>
  <si>
    <r>
      <rPr>
        <sz val="11"/>
        <color indexed="8"/>
        <rFont val="Symbol"/>
        <family val="1"/>
      </rPr>
      <t>D</t>
    </r>
    <r>
      <rPr>
        <sz val="10"/>
        <rFont val="Arial"/>
        <family val="2"/>
      </rPr>
      <t>h</t>
    </r>
    <r>
      <rPr>
        <vertAlign val="subscript"/>
        <sz val="11"/>
        <color indexed="8"/>
        <rFont val="Calibri"/>
        <family val="2"/>
      </rPr>
      <t>reaction</t>
    </r>
    <r>
      <rPr>
        <sz val="10"/>
        <rFont val="Arial"/>
        <family val="2"/>
      </rPr>
      <t xml:space="preserve"> /</t>
    </r>
  </si>
  <si>
    <t>kJ/kg</t>
  </si>
  <si>
    <t>Higher heating value of hydrogen sulfide</t>
  </si>
  <si>
    <t>SH2(g) +1.5*O2(g)  --&gt;  1*SO2(g) + 1*H2O(liq)</t>
  </si>
  <si>
    <t>H2O(liq)</t>
  </si>
  <si>
    <t>HHV =</t>
  </si>
  <si>
    <t xml:space="preserve">  </t>
  </si>
  <si>
    <r>
      <t>t_K-in =T</t>
    </r>
    <r>
      <rPr>
        <vertAlign val="subscript"/>
        <sz val="10"/>
        <rFont val="Arial"/>
        <family val="2"/>
      </rPr>
      <t>in</t>
    </r>
    <r>
      <rPr>
        <sz val="10"/>
        <rFont val="Arial"/>
        <family val="2"/>
      </rPr>
      <t xml:space="preserve"> = </t>
    </r>
  </si>
  <si>
    <t>Gas_N2Enthalpy_tK</t>
  </si>
  <si>
    <t>K</t>
  </si>
  <si>
    <r>
      <t>h</t>
    </r>
    <r>
      <rPr>
        <vertAlign val="subscript"/>
        <sz val="12"/>
        <rFont val="Arial"/>
        <family val="2"/>
      </rPr>
      <t>,N2</t>
    </r>
    <r>
      <rPr>
        <sz val="12"/>
        <rFont val="Arial"/>
        <family val="2"/>
      </rPr>
      <t xml:space="preserve"> =</t>
    </r>
  </si>
  <si>
    <r>
      <t>T</t>
    </r>
    <r>
      <rPr>
        <vertAlign val="subscript"/>
        <sz val="12"/>
        <rFont val="Arial"/>
        <family val="2"/>
      </rPr>
      <t>in</t>
    </r>
    <r>
      <rPr>
        <sz val="12"/>
        <rFont val="Arial"/>
        <family val="2"/>
      </rPr>
      <t xml:space="preserve"> =</t>
    </r>
  </si>
  <si>
    <r>
      <t>T</t>
    </r>
    <r>
      <rPr>
        <vertAlign val="subscript"/>
        <sz val="12"/>
        <rFont val="Arial"/>
        <family val="2"/>
      </rPr>
      <t>out</t>
    </r>
    <r>
      <rPr>
        <sz val="12"/>
        <rFont val="Arial"/>
        <family val="2"/>
      </rPr>
      <t xml:space="preserve"> =</t>
    </r>
  </si>
  <si>
    <r>
      <t>h</t>
    </r>
    <r>
      <rPr>
        <vertAlign val="subscript"/>
        <sz val="12"/>
        <rFont val="Arial"/>
        <family val="2"/>
      </rPr>
      <t>,N2,in</t>
    </r>
    <r>
      <rPr>
        <sz val="12"/>
        <rFont val="Arial"/>
        <family val="2"/>
      </rPr>
      <t>=</t>
    </r>
  </si>
  <si>
    <r>
      <t>h</t>
    </r>
    <r>
      <rPr>
        <vertAlign val="subscript"/>
        <sz val="12"/>
        <rFont val="Arial"/>
        <family val="2"/>
      </rPr>
      <t>,N2,out</t>
    </r>
    <r>
      <rPr>
        <sz val="12"/>
        <rFont val="Arial"/>
        <family val="2"/>
      </rPr>
      <t xml:space="preserve"> =</t>
    </r>
  </si>
  <si>
    <r>
      <rPr>
        <sz val="12"/>
        <rFont val="Symbol"/>
        <family val="1"/>
      </rPr>
      <t>D</t>
    </r>
    <r>
      <rPr>
        <sz val="12"/>
        <rFont val="Arial"/>
        <family val="2"/>
      </rPr>
      <t>h</t>
    </r>
    <r>
      <rPr>
        <vertAlign val="subscript"/>
        <sz val="12"/>
        <rFont val="Arial"/>
        <family val="2"/>
      </rPr>
      <t>,N2</t>
    </r>
    <r>
      <rPr>
        <sz val="12"/>
        <rFont val="Arial"/>
        <family val="2"/>
      </rPr>
      <t>=</t>
    </r>
  </si>
  <si>
    <r>
      <t>h</t>
    </r>
    <r>
      <rPr>
        <vertAlign val="subscript"/>
        <sz val="12"/>
        <rFont val="Arial"/>
        <family val="2"/>
      </rPr>
      <t>N2,out</t>
    </r>
    <r>
      <rPr>
        <sz val="12"/>
        <rFont val="Arial"/>
        <family val="2"/>
      </rPr>
      <t xml:space="preserve"> - h</t>
    </r>
    <r>
      <rPr>
        <vertAlign val="subscript"/>
        <sz val="12"/>
        <rFont val="Arial"/>
        <family val="2"/>
      </rPr>
      <t>N2,in</t>
    </r>
  </si>
  <si>
    <r>
      <rPr>
        <sz val="12"/>
        <rFont val="Symbol"/>
        <family val="1"/>
      </rPr>
      <t>D</t>
    </r>
    <r>
      <rPr>
        <sz val="12"/>
        <rFont val="Arial"/>
        <family val="2"/>
      </rPr>
      <t>T</t>
    </r>
    <r>
      <rPr>
        <sz val="12"/>
        <rFont val="Arial"/>
        <family val="2"/>
      </rPr>
      <t>=</t>
    </r>
  </si>
  <si>
    <r>
      <t>T</t>
    </r>
    <r>
      <rPr>
        <vertAlign val="subscript"/>
        <sz val="12"/>
        <rFont val="Arial"/>
        <family val="2"/>
      </rPr>
      <t>out</t>
    </r>
    <r>
      <rPr>
        <sz val="12"/>
        <rFont val="Arial"/>
        <family val="2"/>
      </rPr>
      <t xml:space="preserve"> - T</t>
    </r>
    <r>
      <rPr>
        <vertAlign val="subscript"/>
        <sz val="12"/>
        <rFont val="Arial"/>
        <family val="2"/>
      </rPr>
      <t>in</t>
    </r>
  </si>
  <si>
    <r>
      <t>C</t>
    </r>
    <r>
      <rPr>
        <vertAlign val="subscript"/>
        <sz val="12"/>
        <rFont val="Arial"/>
        <family val="2"/>
      </rPr>
      <t>p,mean</t>
    </r>
    <r>
      <rPr>
        <sz val="12"/>
        <rFont val="Arial"/>
        <family val="2"/>
      </rPr>
      <t xml:space="preserve"> =</t>
    </r>
  </si>
  <si>
    <r>
      <t>Heat of Combustion</t>
    </r>
    <r>
      <rPr>
        <sz val="10"/>
        <rFont val="Arial"/>
        <family val="2"/>
      </rPr>
      <t xml:space="preserve"> data from Robinson, </t>
    </r>
    <r>
      <rPr>
        <i/>
        <sz val="10"/>
        <rFont val="Arial"/>
        <family val="2"/>
      </rPr>
      <t>Chemical Engineering Reference Manual</t>
    </r>
    <r>
      <rPr>
        <sz val="10"/>
        <rFont val="Arial"/>
        <family val="2"/>
      </rPr>
      <t xml:space="preserve">, Table 2.1.  The value </t>
    </r>
  </si>
  <si>
    <t>in BTU/mole is obtained by multiplying the Net Heat of Combustion (BTU/lb) by the molecular wt. (lb/mole).</t>
  </si>
  <si>
    <t>kJ/(kg*K)</t>
  </si>
  <si>
    <r>
      <rPr>
        <sz val="12"/>
        <rFont val="Symbol"/>
        <family val="1"/>
      </rPr>
      <t>D</t>
    </r>
    <r>
      <rPr>
        <sz val="12"/>
        <rFont val="Arial"/>
        <family val="2"/>
      </rPr>
      <t>h</t>
    </r>
    <r>
      <rPr>
        <vertAlign val="subscript"/>
        <sz val="12"/>
        <rFont val="Arial"/>
        <family val="2"/>
      </rPr>
      <t>N2</t>
    </r>
    <r>
      <rPr>
        <sz val="12"/>
        <rFont val="Arial"/>
        <family val="2"/>
      </rPr>
      <t xml:space="preserve"> / </t>
    </r>
    <r>
      <rPr>
        <sz val="12"/>
        <rFont val="Symbol"/>
        <family val="1"/>
      </rPr>
      <t>D</t>
    </r>
    <r>
      <rPr>
        <sz val="12"/>
        <rFont val="Arial"/>
        <family val="2"/>
      </rPr>
      <t>T</t>
    </r>
  </si>
  <si>
    <t>kJ/(kmol*K)</t>
  </si>
  <si>
    <t>Cp =</t>
  </si>
  <si>
    <t>1   kJ/(kg*K) =</t>
  </si>
  <si>
    <t>Btu/(lb*ºF)</t>
  </si>
  <si>
    <t>Cp  / M  *</t>
  </si>
  <si>
    <t>Btu/(lbmol*ºF)</t>
  </si>
  <si>
    <t>[kJ/(kg*K)]</t>
  </si>
  <si>
    <t>[Btu/(lbmol*ºF)]</t>
  </si>
  <si>
    <t>Cp   kJ/(kmol*K)  *</t>
  </si>
  <si>
    <t xml:space="preserve">   Number of Compounds (fuel components):</t>
  </si>
  <si>
    <t>coefficienst to heat capacity correlations</t>
  </si>
  <si>
    <t>g</t>
  </si>
  <si>
    <t xml:space="preserve">A mixture of 90% methane, 6% ethane and 4% nitrogen is burned with 30% excess air.  </t>
  </si>
  <si>
    <t xml:space="preserve">What is the adiabatic flame temperature if the entering air and fuel mixture are at 90 degrees F? </t>
  </si>
  <si>
    <t xml:space="preserve">This example comes from Robinson, Chemical Engineering Practice Set, 2nd Ed., Problem 6-5.  </t>
  </si>
  <si>
    <t>However, the solution method is a little more elaborate and precise then the one presented by Robinson.</t>
  </si>
  <si>
    <t>m - number of carbon atoms in a  molecule</t>
  </si>
  <si>
    <t>n - number of hydrogen atoms in a  molecule</t>
  </si>
  <si>
    <t>p - number of oxygen atoms in a  molecule</t>
  </si>
  <si>
    <r>
      <t>C</t>
    </r>
    <r>
      <rPr>
        <vertAlign val="subscript"/>
        <sz val="10"/>
        <rFont val="Arial"/>
        <family val="2"/>
      </rPr>
      <t>P</t>
    </r>
    <r>
      <rPr>
        <sz val="10"/>
        <rFont val="Arial"/>
        <family val="2"/>
      </rPr>
      <t xml:space="preserve"> - constant pressure heat capacity (Btu/(mole-</t>
    </r>
    <r>
      <rPr>
        <vertAlign val="superscript"/>
        <sz val="10"/>
        <rFont val="Arial"/>
        <family val="2"/>
      </rPr>
      <t>o</t>
    </r>
    <r>
      <rPr>
        <sz val="10"/>
        <rFont val="Arial"/>
        <family val="2"/>
      </rPr>
      <t>F))</t>
    </r>
  </si>
  <si>
    <t>Fuel mixture</t>
  </si>
  <si>
    <r>
      <t>N</t>
    </r>
    <r>
      <rPr>
        <vertAlign val="subscript"/>
        <sz val="10"/>
        <rFont val="Arial"/>
        <family val="2"/>
      </rPr>
      <t>i</t>
    </r>
  </si>
  <si>
    <r>
      <t>mol</t>
    </r>
    <r>
      <rPr>
        <vertAlign val="subscript"/>
        <sz val="10"/>
        <rFont val="Arial"/>
        <family val="2"/>
      </rPr>
      <t>i</t>
    </r>
    <r>
      <rPr>
        <sz val="10"/>
        <rFont val="Arial"/>
        <family val="2"/>
      </rPr>
      <t>/mol</t>
    </r>
    <r>
      <rPr>
        <vertAlign val="subscript"/>
        <sz val="10"/>
        <rFont val="Arial"/>
        <family val="2"/>
      </rPr>
      <t>F</t>
    </r>
  </si>
  <si>
    <t>S =</t>
  </si>
  <si>
    <t>Table 1.  Fuel Properties</t>
  </si>
  <si>
    <t>Table 2. Inputs</t>
  </si>
  <si>
    <t>Combustion products</t>
  </si>
  <si>
    <r>
      <t>mol</t>
    </r>
    <r>
      <rPr>
        <vertAlign val="subscript"/>
        <sz val="10"/>
        <rFont val="Arial"/>
        <family val="2"/>
      </rPr>
      <t>i</t>
    </r>
    <r>
      <rPr>
        <sz val="10"/>
        <rFont val="Arial"/>
        <family val="2"/>
      </rPr>
      <t>/mol</t>
    </r>
    <r>
      <rPr>
        <vertAlign val="subscript"/>
        <sz val="10"/>
        <rFont val="Arial"/>
        <family val="2"/>
      </rPr>
      <t>p</t>
    </r>
  </si>
  <si>
    <t>Moles entering</t>
  </si>
  <si>
    <t>p</t>
  </si>
  <si>
    <r>
      <t>O</t>
    </r>
    <r>
      <rPr>
        <vertAlign val="subscript"/>
        <sz val="10"/>
        <rFont val="Arial"/>
        <family val="2"/>
      </rPr>
      <t xml:space="preserve">2   </t>
    </r>
    <r>
      <rPr>
        <sz val="10"/>
        <rFont val="Arial"/>
        <family val="2"/>
      </rPr>
      <t xml:space="preserve">  </t>
    </r>
  </si>
  <si>
    <r>
      <t>O</t>
    </r>
    <r>
      <rPr>
        <vertAlign val="subscript"/>
        <sz val="10"/>
        <rFont val="Arial"/>
        <family val="2"/>
      </rPr>
      <t>2</t>
    </r>
    <r>
      <rPr>
        <sz val="10"/>
        <rFont val="Arial"/>
        <family val="2"/>
      </rPr>
      <t xml:space="preserve">     </t>
    </r>
  </si>
  <si>
    <t xml:space="preserve"> ---&gt;</t>
  </si>
  <si>
    <r>
      <t>CO</t>
    </r>
    <r>
      <rPr>
        <vertAlign val="subscript"/>
        <sz val="10"/>
        <rFont val="Arial"/>
        <family val="2"/>
      </rPr>
      <t xml:space="preserve">2    </t>
    </r>
    <r>
      <rPr>
        <sz val="10"/>
        <rFont val="Arial"/>
        <family val="2"/>
      </rPr>
      <t xml:space="preserve">+ </t>
    </r>
  </si>
  <si>
    <t>Stoichiometric combustion</t>
  </si>
  <si>
    <t>Stoichiometric oxygen</t>
  </si>
  <si>
    <r>
      <t>N</t>
    </r>
    <r>
      <rPr>
        <vertAlign val="subscript"/>
        <sz val="10"/>
        <rFont val="Arial"/>
        <family val="2"/>
      </rPr>
      <t>O2,i</t>
    </r>
    <r>
      <rPr>
        <sz val="10"/>
        <rFont val="Arial"/>
        <family val="2"/>
      </rPr>
      <t xml:space="preserve"> </t>
    </r>
  </si>
  <si>
    <r>
      <t>N</t>
    </r>
    <r>
      <rPr>
        <vertAlign val="subscript"/>
        <sz val="10"/>
        <rFont val="Arial"/>
        <family val="2"/>
      </rPr>
      <t>O2,CH4</t>
    </r>
    <r>
      <rPr>
        <sz val="10"/>
        <rFont val="Arial"/>
        <family val="2"/>
      </rPr>
      <t xml:space="preserve"> =</t>
    </r>
  </si>
  <si>
    <r>
      <t>N</t>
    </r>
    <r>
      <rPr>
        <vertAlign val="subscript"/>
        <sz val="10"/>
        <rFont val="Arial"/>
        <family val="2"/>
      </rPr>
      <t>O2,C2H6</t>
    </r>
    <r>
      <rPr>
        <sz val="10"/>
        <rFont val="Arial"/>
        <family val="2"/>
      </rPr>
      <t xml:space="preserve"> =</t>
    </r>
  </si>
  <si>
    <r>
      <t>O</t>
    </r>
    <r>
      <rPr>
        <vertAlign val="subscript"/>
        <sz val="10"/>
        <rFont val="Arial"/>
        <family val="2"/>
      </rPr>
      <t>2,stoic</t>
    </r>
    <r>
      <rPr>
        <sz val="10"/>
        <rFont val="Arial"/>
        <family val="2"/>
      </rPr>
      <t xml:space="preserve"> =</t>
    </r>
  </si>
  <si>
    <r>
      <t>O</t>
    </r>
    <r>
      <rPr>
        <vertAlign val="subscript"/>
        <sz val="10"/>
        <rFont val="Arial"/>
        <family val="2"/>
      </rPr>
      <t>2</t>
    </r>
    <r>
      <rPr>
        <sz val="10"/>
        <rFont val="Arial"/>
        <family val="2"/>
      </rPr>
      <t xml:space="preserve"> =</t>
    </r>
  </si>
  <si>
    <r>
      <t>O</t>
    </r>
    <r>
      <rPr>
        <vertAlign val="subscript"/>
        <sz val="10"/>
        <rFont val="Arial"/>
        <family val="2"/>
      </rPr>
      <t>2,stoic</t>
    </r>
    <r>
      <rPr>
        <sz val="10"/>
        <rFont val="Arial"/>
        <family val="2"/>
      </rPr>
      <t xml:space="preserve"> * (1+exc)</t>
    </r>
  </si>
  <si>
    <t>Exc =</t>
  </si>
  <si>
    <t>%</t>
  </si>
  <si>
    <r>
      <t>mol</t>
    </r>
    <r>
      <rPr>
        <vertAlign val="subscript"/>
        <sz val="10"/>
        <rFont val="Arial"/>
        <family val="2"/>
      </rPr>
      <t>O2</t>
    </r>
    <r>
      <rPr>
        <sz val="10"/>
        <rFont val="Arial"/>
        <family val="2"/>
      </rPr>
      <t>/mol</t>
    </r>
    <r>
      <rPr>
        <vertAlign val="subscript"/>
        <sz val="10"/>
        <rFont val="Arial"/>
        <family val="2"/>
      </rPr>
      <t>CH4</t>
    </r>
  </si>
  <si>
    <r>
      <t>mol</t>
    </r>
    <r>
      <rPr>
        <vertAlign val="subscript"/>
        <sz val="10"/>
        <rFont val="Arial"/>
        <family val="2"/>
      </rPr>
      <t>CH4</t>
    </r>
    <r>
      <rPr>
        <sz val="10"/>
        <rFont val="Arial"/>
        <family val="2"/>
      </rPr>
      <t>/mol</t>
    </r>
    <r>
      <rPr>
        <vertAlign val="subscript"/>
        <sz val="10"/>
        <rFont val="Arial"/>
        <family val="2"/>
      </rPr>
      <t>Fuel</t>
    </r>
  </si>
  <si>
    <r>
      <t>mol</t>
    </r>
    <r>
      <rPr>
        <vertAlign val="subscript"/>
        <sz val="10"/>
        <rFont val="Arial"/>
        <family val="2"/>
      </rPr>
      <t>O2</t>
    </r>
    <r>
      <rPr>
        <sz val="10"/>
        <rFont val="Arial"/>
        <family val="2"/>
      </rPr>
      <t>/mol</t>
    </r>
    <r>
      <rPr>
        <vertAlign val="subscript"/>
        <sz val="10"/>
        <rFont val="Arial"/>
        <family val="2"/>
      </rPr>
      <t>C2H6</t>
    </r>
  </si>
  <si>
    <r>
      <t>mol</t>
    </r>
    <r>
      <rPr>
        <vertAlign val="subscript"/>
        <sz val="10"/>
        <rFont val="Arial"/>
        <family val="2"/>
      </rPr>
      <t>CH6</t>
    </r>
    <r>
      <rPr>
        <sz val="10"/>
        <rFont val="Arial"/>
        <family val="2"/>
      </rPr>
      <t>/mol</t>
    </r>
    <r>
      <rPr>
        <vertAlign val="subscript"/>
        <sz val="10"/>
        <rFont val="Arial"/>
        <family val="2"/>
      </rPr>
      <t>Fuel</t>
    </r>
  </si>
  <si>
    <r>
      <t>mol</t>
    </r>
    <r>
      <rPr>
        <vertAlign val="subscript"/>
        <sz val="10"/>
        <rFont val="Arial"/>
        <family val="2"/>
      </rPr>
      <t>O2</t>
    </r>
    <r>
      <rPr>
        <sz val="10"/>
        <rFont val="Arial"/>
        <family val="2"/>
      </rPr>
      <t>/mol</t>
    </r>
    <r>
      <rPr>
        <vertAlign val="subscript"/>
        <sz val="10"/>
        <rFont val="Arial"/>
        <family val="2"/>
      </rPr>
      <t>Fuel</t>
    </r>
  </si>
  <si>
    <t xml:space="preserve"> -</t>
  </si>
  <si>
    <r>
      <t>n</t>
    </r>
    <r>
      <rPr>
        <vertAlign val="subscript"/>
        <sz val="12"/>
        <rFont val="Arial"/>
        <family val="2"/>
      </rPr>
      <t>fract,i</t>
    </r>
  </si>
  <si>
    <r>
      <t>n</t>
    </r>
    <r>
      <rPr>
        <vertAlign val="subscript"/>
        <sz val="10"/>
        <rFont val="Arial"/>
        <family val="2"/>
      </rPr>
      <t>fract,CH4</t>
    </r>
    <r>
      <rPr>
        <sz val="10"/>
        <rFont val="Arial"/>
        <family val="2"/>
      </rPr>
      <t xml:space="preserve"> =</t>
    </r>
  </si>
  <si>
    <r>
      <t>n</t>
    </r>
    <r>
      <rPr>
        <vertAlign val="subscript"/>
        <sz val="10"/>
        <rFont val="Arial"/>
        <family val="2"/>
      </rPr>
      <t>fract,C2H6</t>
    </r>
    <r>
      <rPr>
        <sz val="10"/>
        <rFont val="Arial"/>
        <family val="2"/>
      </rPr>
      <t xml:space="preserve"> =</t>
    </r>
  </si>
  <si>
    <r>
      <t>O</t>
    </r>
    <r>
      <rPr>
        <vertAlign val="subscript"/>
        <sz val="10"/>
        <rFont val="Arial"/>
        <family val="2"/>
      </rPr>
      <t>2</t>
    </r>
    <r>
      <rPr>
        <sz val="10"/>
        <rFont val="Arial"/>
        <family val="2"/>
      </rPr>
      <t xml:space="preserve"> * (79/21) + n</t>
    </r>
    <r>
      <rPr>
        <vertAlign val="subscript"/>
        <sz val="10"/>
        <rFont val="Arial"/>
        <family val="2"/>
      </rPr>
      <t>fract,N2</t>
    </r>
  </si>
  <si>
    <r>
      <t>n</t>
    </r>
    <r>
      <rPr>
        <vertAlign val="subscript"/>
        <sz val="10"/>
        <rFont val="Arial"/>
        <family val="2"/>
      </rPr>
      <t>fract,N2</t>
    </r>
    <r>
      <rPr>
        <sz val="10"/>
        <rFont val="Arial"/>
        <family val="2"/>
      </rPr>
      <t xml:space="preserve"> =</t>
    </r>
  </si>
  <si>
    <t>Oxygen with excess air entering</t>
  </si>
  <si>
    <t>Carbon dioxide leavig in the products</t>
  </si>
  <si>
    <r>
      <t>N</t>
    </r>
    <r>
      <rPr>
        <vertAlign val="subscript"/>
        <sz val="10"/>
        <rFont val="Arial"/>
        <family val="2"/>
      </rPr>
      <t>CO2,i</t>
    </r>
    <r>
      <rPr>
        <sz val="10"/>
        <rFont val="Arial"/>
        <family val="2"/>
      </rPr>
      <t xml:space="preserve"> </t>
    </r>
  </si>
  <si>
    <r>
      <t>(N</t>
    </r>
    <r>
      <rPr>
        <vertAlign val="subscript"/>
        <sz val="12"/>
        <rFont val="Arial"/>
        <family val="2"/>
      </rPr>
      <t xml:space="preserve">CO2,CH4 </t>
    </r>
    <r>
      <rPr>
        <sz val="12"/>
        <rFont val="Arial"/>
        <family val="2"/>
      </rPr>
      <t>* n</t>
    </r>
    <r>
      <rPr>
        <vertAlign val="subscript"/>
        <sz val="12"/>
        <rFont val="Arial"/>
        <family val="2"/>
      </rPr>
      <t>fract,CH4</t>
    </r>
    <r>
      <rPr>
        <sz val="12"/>
        <rFont val="Arial"/>
        <family val="2"/>
      </rPr>
      <t xml:space="preserve"> + N</t>
    </r>
    <r>
      <rPr>
        <vertAlign val="subscript"/>
        <sz val="12"/>
        <rFont val="Arial"/>
        <family val="2"/>
      </rPr>
      <t>CO2,C2H6</t>
    </r>
    <r>
      <rPr>
        <sz val="12"/>
        <rFont val="Arial"/>
        <family val="2"/>
      </rPr>
      <t xml:space="preserve"> * n</t>
    </r>
    <r>
      <rPr>
        <vertAlign val="subscript"/>
        <sz val="12"/>
        <rFont val="Arial"/>
        <family val="2"/>
      </rPr>
      <t>fract,C2H6</t>
    </r>
    <r>
      <rPr>
        <sz val="12"/>
        <rFont val="Arial"/>
        <family val="2"/>
      </rPr>
      <t>)</t>
    </r>
  </si>
  <si>
    <r>
      <t>N</t>
    </r>
    <r>
      <rPr>
        <vertAlign val="subscript"/>
        <sz val="10"/>
        <rFont val="Arial"/>
        <family val="2"/>
      </rPr>
      <t>CO2,CH4</t>
    </r>
    <r>
      <rPr>
        <sz val="10"/>
        <rFont val="Arial"/>
        <family val="2"/>
      </rPr>
      <t xml:space="preserve"> =</t>
    </r>
  </si>
  <si>
    <r>
      <t>N</t>
    </r>
    <r>
      <rPr>
        <vertAlign val="subscript"/>
        <sz val="10"/>
        <rFont val="Arial"/>
        <family val="2"/>
      </rPr>
      <t>CO2,C2H6</t>
    </r>
    <r>
      <rPr>
        <sz val="10"/>
        <rFont val="Arial"/>
        <family val="2"/>
      </rPr>
      <t xml:space="preserve"> =</t>
    </r>
  </si>
  <si>
    <r>
      <t>3) Develop mean heat capacity, C</t>
    </r>
    <r>
      <rPr>
        <vertAlign val="subscript"/>
        <sz val="10"/>
        <rFont val="Arial"/>
        <family val="2"/>
      </rPr>
      <t>p</t>
    </r>
    <r>
      <rPr>
        <sz val="10"/>
        <rFont val="Arial"/>
        <family val="2"/>
      </rPr>
      <t xml:space="preserve">, as a function of </t>
    </r>
  </si>
  <si>
    <t>temperature using average value of a polynomial function.</t>
  </si>
  <si>
    <r>
      <t>(N</t>
    </r>
    <r>
      <rPr>
        <vertAlign val="subscript"/>
        <sz val="10"/>
        <rFont val="Arial"/>
        <family val="2"/>
      </rPr>
      <t xml:space="preserve">O2,CH4 </t>
    </r>
    <r>
      <rPr>
        <sz val="10"/>
        <rFont val="Arial"/>
        <family val="2"/>
      </rPr>
      <t>* n</t>
    </r>
    <r>
      <rPr>
        <vertAlign val="subscript"/>
        <sz val="10"/>
        <rFont val="Arial"/>
        <family val="2"/>
      </rPr>
      <t>fract,CH4</t>
    </r>
    <r>
      <rPr>
        <sz val="10"/>
        <rFont val="Arial"/>
        <family val="2"/>
      </rPr>
      <t xml:space="preserve"> + N</t>
    </r>
    <r>
      <rPr>
        <vertAlign val="subscript"/>
        <sz val="10"/>
        <rFont val="Arial"/>
        <family val="2"/>
      </rPr>
      <t>O2,C2H6</t>
    </r>
    <r>
      <rPr>
        <sz val="10"/>
        <rFont val="Arial"/>
        <family val="2"/>
      </rPr>
      <t xml:space="preserve"> * n</t>
    </r>
    <r>
      <rPr>
        <vertAlign val="subscript"/>
        <sz val="10"/>
        <rFont val="Arial"/>
        <family val="2"/>
      </rPr>
      <t>fract,C2H6</t>
    </r>
    <r>
      <rPr>
        <sz val="10"/>
        <rFont val="Arial"/>
        <family val="2"/>
      </rPr>
      <t>)</t>
    </r>
  </si>
  <si>
    <r>
      <t>N</t>
    </r>
    <r>
      <rPr>
        <vertAlign val="subscript"/>
        <sz val="10"/>
        <rFont val="Arial"/>
        <family val="2"/>
      </rPr>
      <t>H2O,CH4</t>
    </r>
    <r>
      <rPr>
        <sz val="10"/>
        <rFont val="Arial"/>
        <family val="2"/>
      </rPr>
      <t xml:space="preserve"> =</t>
    </r>
  </si>
  <si>
    <r>
      <t>N</t>
    </r>
    <r>
      <rPr>
        <vertAlign val="subscript"/>
        <sz val="10"/>
        <rFont val="Arial"/>
        <family val="2"/>
      </rPr>
      <t>H2O,C2H6</t>
    </r>
    <r>
      <rPr>
        <sz val="10"/>
        <rFont val="Arial"/>
        <family val="2"/>
      </rPr>
      <t xml:space="preserve"> =</t>
    </r>
  </si>
  <si>
    <r>
      <t>mol</t>
    </r>
    <r>
      <rPr>
        <vertAlign val="subscript"/>
        <sz val="10"/>
        <rFont val="Arial"/>
        <family val="2"/>
      </rPr>
      <t>CO2</t>
    </r>
    <r>
      <rPr>
        <sz val="10"/>
        <rFont val="Arial"/>
        <family val="2"/>
      </rPr>
      <t>/mol</t>
    </r>
    <r>
      <rPr>
        <vertAlign val="subscript"/>
        <sz val="10"/>
        <rFont val="Arial"/>
        <family val="2"/>
      </rPr>
      <t>CH4</t>
    </r>
  </si>
  <si>
    <r>
      <t>molCo</t>
    </r>
    <r>
      <rPr>
        <vertAlign val="subscript"/>
        <sz val="10"/>
        <rFont val="Arial"/>
        <family val="2"/>
      </rPr>
      <t>O2</t>
    </r>
    <r>
      <rPr>
        <sz val="10"/>
        <rFont val="Arial"/>
        <family val="2"/>
      </rPr>
      <t>/mol</t>
    </r>
    <r>
      <rPr>
        <vertAlign val="subscript"/>
        <sz val="10"/>
        <rFont val="Arial"/>
        <family val="2"/>
      </rPr>
      <t>C2H6</t>
    </r>
  </si>
  <si>
    <r>
      <t>mol</t>
    </r>
    <r>
      <rPr>
        <vertAlign val="subscript"/>
        <sz val="10"/>
        <rFont val="Arial"/>
        <family val="2"/>
      </rPr>
      <t>CO2</t>
    </r>
    <r>
      <rPr>
        <sz val="10"/>
        <rFont val="Arial"/>
        <family val="2"/>
      </rPr>
      <t>/mol</t>
    </r>
    <r>
      <rPr>
        <vertAlign val="subscript"/>
        <sz val="10"/>
        <rFont val="Arial"/>
        <family val="2"/>
      </rPr>
      <t>Fuel</t>
    </r>
  </si>
  <si>
    <r>
      <t>N</t>
    </r>
    <r>
      <rPr>
        <vertAlign val="subscript"/>
        <sz val="10"/>
        <rFont val="Arial"/>
        <family val="2"/>
      </rPr>
      <t>H2O,i</t>
    </r>
    <r>
      <rPr>
        <sz val="10"/>
        <rFont val="Arial"/>
        <family val="2"/>
      </rPr>
      <t xml:space="preserve"> </t>
    </r>
  </si>
  <si>
    <r>
      <t>mol</t>
    </r>
    <r>
      <rPr>
        <vertAlign val="subscript"/>
        <sz val="10"/>
        <rFont val="Arial"/>
        <family val="2"/>
      </rPr>
      <t>H2O</t>
    </r>
    <r>
      <rPr>
        <sz val="10"/>
        <rFont val="Arial"/>
        <family val="2"/>
      </rPr>
      <t>/mol</t>
    </r>
    <r>
      <rPr>
        <vertAlign val="subscript"/>
        <sz val="10"/>
        <rFont val="Arial"/>
        <family val="2"/>
      </rPr>
      <t>CH4</t>
    </r>
  </si>
  <si>
    <r>
      <t>mol</t>
    </r>
    <r>
      <rPr>
        <vertAlign val="subscript"/>
        <sz val="10"/>
        <rFont val="Arial"/>
        <family val="2"/>
      </rPr>
      <t>H2O</t>
    </r>
    <r>
      <rPr>
        <sz val="10"/>
        <rFont val="Arial"/>
        <family val="2"/>
      </rPr>
      <t>/mol</t>
    </r>
    <r>
      <rPr>
        <vertAlign val="subscript"/>
        <sz val="10"/>
        <rFont val="Arial"/>
        <family val="2"/>
      </rPr>
      <t>C2H6</t>
    </r>
  </si>
  <si>
    <r>
      <t>mol</t>
    </r>
    <r>
      <rPr>
        <vertAlign val="subscript"/>
        <sz val="10"/>
        <rFont val="Arial"/>
        <family val="2"/>
      </rPr>
      <t>H2O</t>
    </r>
    <r>
      <rPr>
        <sz val="10"/>
        <rFont val="Arial"/>
        <family val="2"/>
      </rPr>
      <t>/mol</t>
    </r>
    <r>
      <rPr>
        <vertAlign val="subscript"/>
        <sz val="10"/>
        <rFont val="Arial"/>
        <family val="2"/>
      </rPr>
      <t>Fuel</t>
    </r>
  </si>
  <si>
    <t>Oxigen leavig in the products</t>
  </si>
  <si>
    <r>
      <t>O</t>
    </r>
    <r>
      <rPr>
        <vertAlign val="subscript"/>
        <sz val="10"/>
        <rFont val="Arial"/>
        <family val="2"/>
      </rPr>
      <t>2,stoic</t>
    </r>
    <r>
      <rPr>
        <sz val="10"/>
        <rFont val="Arial"/>
        <family val="2"/>
      </rPr>
      <t xml:space="preserve"> * Exc</t>
    </r>
  </si>
  <si>
    <r>
      <t>H2O</t>
    </r>
    <r>
      <rPr>
        <vertAlign val="subscript"/>
        <sz val="10"/>
        <rFont val="Arial"/>
        <family val="2"/>
      </rPr>
      <t>out</t>
    </r>
    <r>
      <rPr>
        <sz val="10"/>
        <rFont val="Arial"/>
        <family val="2"/>
      </rPr>
      <t xml:space="preserve"> =</t>
    </r>
  </si>
  <si>
    <r>
      <t>CO2</t>
    </r>
    <r>
      <rPr>
        <vertAlign val="subscript"/>
        <sz val="10"/>
        <rFont val="Arial"/>
        <family val="2"/>
      </rPr>
      <t>out</t>
    </r>
    <r>
      <rPr>
        <sz val="10"/>
        <rFont val="Arial"/>
        <family val="2"/>
      </rPr>
      <t xml:space="preserve"> =</t>
    </r>
  </si>
  <si>
    <r>
      <t>N2</t>
    </r>
    <r>
      <rPr>
        <vertAlign val="subscript"/>
        <sz val="10"/>
        <rFont val="Arial"/>
        <family val="2"/>
      </rPr>
      <t>in</t>
    </r>
    <r>
      <rPr>
        <sz val="10"/>
        <rFont val="Arial"/>
        <family val="2"/>
      </rPr>
      <t xml:space="preserve"> =</t>
    </r>
  </si>
  <si>
    <r>
      <t>O2</t>
    </r>
    <r>
      <rPr>
        <vertAlign val="subscript"/>
        <sz val="10"/>
        <rFont val="Arial"/>
        <family val="2"/>
      </rPr>
      <t>out</t>
    </r>
    <r>
      <rPr>
        <sz val="10"/>
        <rFont val="Arial"/>
        <family val="2"/>
      </rPr>
      <t xml:space="preserve"> =</t>
    </r>
  </si>
  <si>
    <r>
      <t>O2</t>
    </r>
    <r>
      <rPr>
        <vertAlign val="subscript"/>
        <sz val="10"/>
        <rFont val="Arial"/>
        <family val="2"/>
      </rPr>
      <t>in</t>
    </r>
    <r>
      <rPr>
        <sz val="10"/>
        <rFont val="Arial"/>
        <family val="2"/>
      </rPr>
      <t xml:space="preserve"> =</t>
    </r>
  </si>
  <si>
    <r>
      <t>O2</t>
    </r>
    <r>
      <rPr>
        <vertAlign val="subscript"/>
        <sz val="10"/>
        <rFont val="Arial"/>
        <family val="2"/>
      </rPr>
      <t>stoic</t>
    </r>
    <r>
      <rPr>
        <sz val="10"/>
        <rFont val="Arial"/>
        <family val="2"/>
      </rPr>
      <t xml:space="preserve"> =</t>
    </r>
  </si>
  <si>
    <r>
      <t>O2</t>
    </r>
    <r>
      <rPr>
        <vertAlign val="subscript"/>
        <sz val="12"/>
        <rFont val="Arial"/>
        <family val="2"/>
      </rPr>
      <t>stoic</t>
    </r>
    <r>
      <rPr>
        <sz val="12"/>
        <rFont val="Arial"/>
        <family val="2"/>
      </rPr>
      <t xml:space="preserve"> =</t>
    </r>
  </si>
  <si>
    <t>Moles leaving</t>
  </si>
  <si>
    <r>
      <t>(N</t>
    </r>
    <r>
      <rPr>
        <vertAlign val="subscript"/>
        <sz val="11"/>
        <rFont val="Arial"/>
        <family val="2"/>
      </rPr>
      <t xml:space="preserve">H2O,CH4 </t>
    </r>
    <r>
      <rPr>
        <sz val="11"/>
        <rFont val="Arial"/>
        <family val="2"/>
      </rPr>
      <t>* n</t>
    </r>
    <r>
      <rPr>
        <vertAlign val="subscript"/>
        <sz val="11"/>
        <rFont val="Arial"/>
        <family val="2"/>
      </rPr>
      <t>fract,CH4</t>
    </r>
    <r>
      <rPr>
        <sz val="11"/>
        <rFont val="Arial"/>
        <family val="2"/>
      </rPr>
      <t xml:space="preserve"> + N</t>
    </r>
    <r>
      <rPr>
        <vertAlign val="subscript"/>
        <sz val="11"/>
        <rFont val="Arial"/>
        <family val="2"/>
      </rPr>
      <t>H2O2,C2H6</t>
    </r>
    <r>
      <rPr>
        <sz val="11"/>
        <rFont val="Arial"/>
        <family val="2"/>
      </rPr>
      <t xml:space="preserve"> * n</t>
    </r>
    <r>
      <rPr>
        <vertAlign val="subscript"/>
        <sz val="11"/>
        <rFont val="Arial"/>
        <family val="2"/>
      </rPr>
      <t>fract,C2H6</t>
    </r>
    <r>
      <rPr>
        <sz val="11"/>
        <rFont val="Arial"/>
        <family val="2"/>
      </rPr>
      <t>)</t>
    </r>
  </si>
  <si>
    <t>Water vapor leavig in the products</t>
  </si>
  <si>
    <r>
      <t>mol</t>
    </r>
    <r>
      <rPr>
        <vertAlign val="subscript"/>
        <sz val="10"/>
        <rFont val="Arial"/>
        <family val="2"/>
      </rPr>
      <t>i/</t>
    </r>
    <r>
      <rPr>
        <sz val="10"/>
        <rFont val="Arial"/>
        <family val="2"/>
      </rPr>
      <t>mol</t>
    </r>
    <r>
      <rPr>
        <vertAlign val="subscript"/>
        <sz val="10"/>
        <rFont val="Arial"/>
        <family val="2"/>
      </rPr>
      <t>F</t>
    </r>
  </si>
  <si>
    <r>
      <t>n</t>
    </r>
    <r>
      <rPr>
        <vertAlign val="subscript"/>
        <sz val="10"/>
        <rFont val="Arial"/>
        <family val="2"/>
      </rPr>
      <t>i</t>
    </r>
  </si>
  <si>
    <r>
      <t>vol</t>
    </r>
    <r>
      <rPr>
        <vertAlign val="subscript"/>
        <sz val="10"/>
        <rFont val="Arial"/>
        <family val="2"/>
      </rPr>
      <t>%</t>
    </r>
  </si>
  <si>
    <r>
      <t>100 *m</t>
    </r>
    <r>
      <rPr>
        <vertAlign val="superscript"/>
        <sz val="10"/>
        <rFont val="Arial"/>
        <family val="2"/>
      </rPr>
      <t>3</t>
    </r>
    <r>
      <rPr>
        <vertAlign val="subscript"/>
        <sz val="10"/>
        <rFont val="Arial"/>
        <family val="2"/>
      </rPr>
      <t>i</t>
    </r>
    <r>
      <rPr>
        <sz val="10"/>
        <rFont val="Arial"/>
        <family val="2"/>
      </rPr>
      <t>/m</t>
    </r>
    <r>
      <rPr>
        <vertAlign val="superscript"/>
        <sz val="10"/>
        <rFont val="Arial"/>
        <family val="2"/>
      </rPr>
      <t>3</t>
    </r>
    <r>
      <rPr>
        <vertAlign val="subscript"/>
        <sz val="10"/>
        <rFont val="Arial"/>
        <family val="2"/>
      </rPr>
      <t>F</t>
    </r>
  </si>
  <si>
    <t>with  Excess air and 1 mole basis</t>
  </si>
  <si>
    <r>
      <t>N2</t>
    </r>
    <r>
      <rPr>
        <vertAlign val="subscript"/>
        <sz val="10"/>
        <rFont val="Arial"/>
        <family val="2"/>
      </rPr>
      <t>stoic</t>
    </r>
    <r>
      <rPr>
        <sz val="10"/>
        <rFont val="Arial"/>
        <family val="2"/>
      </rPr>
      <t xml:space="preserve"> =</t>
    </r>
  </si>
  <si>
    <r>
      <t>O2</t>
    </r>
    <r>
      <rPr>
        <vertAlign val="subscript"/>
        <sz val="10"/>
        <rFont val="Arial"/>
        <family val="2"/>
      </rPr>
      <t>stoic</t>
    </r>
    <r>
      <rPr>
        <sz val="10"/>
        <rFont val="Arial"/>
        <family val="2"/>
      </rPr>
      <t xml:space="preserve"> * (79/21)</t>
    </r>
  </si>
  <si>
    <r>
      <t>Air</t>
    </r>
    <r>
      <rPr>
        <vertAlign val="subscript"/>
        <sz val="10"/>
        <rFont val="Arial"/>
        <family val="2"/>
      </rPr>
      <t>stoic</t>
    </r>
    <r>
      <rPr>
        <sz val="10"/>
        <rFont val="Arial"/>
        <family val="2"/>
      </rPr>
      <t xml:space="preserve"> =</t>
    </r>
  </si>
  <si>
    <r>
      <t>O2</t>
    </r>
    <r>
      <rPr>
        <vertAlign val="subscript"/>
        <sz val="10"/>
        <rFont val="Arial"/>
        <family val="2"/>
      </rPr>
      <t>stoic</t>
    </r>
    <r>
      <rPr>
        <sz val="10"/>
        <rFont val="Arial"/>
        <family val="2"/>
      </rPr>
      <t xml:space="preserve"> + N2</t>
    </r>
    <r>
      <rPr>
        <vertAlign val="subscript"/>
        <sz val="10"/>
        <rFont val="Arial"/>
        <family val="2"/>
      </rPr>
      <t>stoich</t>
    </r>
    <r>
      <rPr>
        <sz val="10"/>
        <rFont val="Arial"/>
        <family val="2"/>
      </rPr>
      <t xml:space="preserve"> </t>
    </r>
  </si>
  <si>
    <r>
      <t>mol</t>
    </r>
    <r>
      <rPr>
        <vertAlign val="subscript"/>
        <sz val="11"/>
        <rFont val="Arial"/>
        <family val="2"/>
      </rPr>
      <t>O2</t>
    </r>
    <r>
      <rPr>
        <sz val="11"/>
        <rFont val="Arial"/>
        <family val="2"/>
      </rPr>
      <t>/mol</t>
    </r>
    <r>
      <rPr>
        <vertAlign val="subscript"/>
        <sz val="11"/>
        <rFont val="Arial"/>
        <family val="2"/>
      </rPr>
      <t>Fuel</t>
    </r>
  </si>
  <si>
    <r>
      <t>mol</t>
    </r>
    <r>
      <rPr>
        <vertAlign val="subscript"/>
        <sz val="11"/>
        <rFont val="Arial"/>
        <family val="2"/>
      </rPr>
      <t>N2</t>
    </r>
    <r>
      <rPr>
        <sz val="11"/>
        <rFont val="Arial"/>
        <family val="2"/>
      </rPr>
      <t>/mol</t>
    </r>
    <r>
      <rPr>
        <vertAlign val="subscript"/>
        <sz val="11"/>
        <rFont val="Arial"/>
        <family val="2"/>
      </rPr>
      <t>Fuel</t>
    </r>
  </si>
  <si>
    <r>
      <t>mol</t>
    </r>
    <r>
      <rPr>
        <vertAlign val="subscript"/>
        <sz val="11"/>
        <rFont val="Arial"/>
        <family val="2"/>
      </rPr>
      <t>Air</t>
    </r>
    <r>
      <rPr>
        <sz val="11"/>
        <rFont val="Arial"/>
        <family val="2"/>
      </rPr>
      <t>/mol</t>
    </r>
    <r>
      <rPr>
        <vertAlign val="subscript"/>
        <sz val="11"/>
        <rFont val="Arial"/>
        <family val="2"/>
      </rPr>
      <t>Fuel</t>
    </r>
  </si>
  <si>
    <t>v =</t>
  </si>
  <si>
    <t>Rg * T / p</t>
  </si>
  <si>
    <t>Rg =</t>
  </si>
  <si>
    <t>J/(kmol*K)</t>
  </si>
  <si>
    <t>for a standard state</t>
  </si>
  <si>
    <t>Pa</t>
  </si>
  <si>
    <r>
      <t>T</t>
    </r>
    <r>
      <rPr>
        <vertAlign val="subscript"/>
        <sz val="10"/>
        <rFont val="Arial"/>
        <family val="2"/>
      </rPr>
      <t>std</t>
    </r>
    <r>
      <rPr>
        <sz val="10"/>
        <rFont val="Arial"/>
        <family val="2"/>
      </rPr>
      <t xml:space="preserve"> =</t>
    </r>
  </si>
  <si>
    <r>
      <t>p</t>
    </r>
    <r>
      <rPr>
        <vertAlign val="subscript"/>
        <sz val="10"/>
        <rFont val="Arial"/>
        <family val="2"/>
      </rPr>
      <t>std</t>
    </r>
    <r>
      <rPr>
        <sz val="10"/>
        <rFont val="Arial"/>
        <family val="2"/>
      </rPr>
      <t xml:space="preserve"> =</t>
    </r>
  </si>
  <si>
    <r>
      <t>v</t>
    </r>
    <r>
      <rPr>
        <vertAlign val="subscript"/>
        <sz val="10"/>
        <rFont val="Arial"/>
        <family val="2"/>
      </rPr>
      <t>std</t>
    </r>
    <r>
      <rPr>
        <sz val="10"/>
        <rFont val="Arial"/>
        <family val="2"/>
      </rPr>
      <t xml:space="preserve"> =</t>
    </r>
  </si>
  <si>
    <t>Molar volume at standard state</t>
  </si>
  <si>
    <r>
      <t>v</t>
    </r>
    <r>
      <rPr>
        <vertAlign val="subscript"/>
        <sz val="12"/>
        <rFont val="Arial"/>
        <family val="2"/>
      </rPr>
      <t>Air</t>
    </r>
    <r>
      <rPr>
        <sz val="12"/>
        <rFont val="Arial"/>
        <family val="2"/>
      </rPr>
      <t>,</t>
    </r>
    <r>
      <rPr>
        <vertAlign val="subscript"/>
        <sz val="12"/>
        <rFont val="Arial"/>
        <family val="2"/>
      </rPr>
      <t>stoic</t>
    </r>
    <r>
      <rPr>
        <sz val="12"/>
        <rFont val="Arial"/>
        <family val="2"/>
      </rPr>
      <t xml:space="preserve"> =</t>
    </r>
  </si>
  <si>
    <r>
      <t>Air</t>
    </r>
    <r>
      <rPr>
        <vertAlign val="subscript"/>
        <sz val="10"/>
        <rFont val="Arial"/>
        <family val="2"/>
      </rPr>
      <t>stoic</t>
    </r>
    <r>
      <rPr>
        <sz val="10"/>
        <rFont val="Arial"/>
        <family val="2"/>
      </rPr>
      <t xml:space="preserve"> * v</t>
    </r>
    <r>
      <rPr>
        <vertAlign val="subscript"/>
        <sz val="10"/>
        <rFont val="Arial"/>
        <family val="2"/>
      </rPr>
      <t>std</t>
    </r>
  </si>
  <si>
    <r>
      <t>kmol</t>
    </r>
    <r>
      <rPr>
        <vertAlign val="subscript"/>
        <sz val="11"/>
        <rFont val="Arial"/>
        <family val="2"/>
      </rPr>
      <t>Air</t>
    </r>
    <r>
      <rPr>
        <sz val="11"/>
        <rFont val="Arial"/>
        <family val="2"/>
      </rPr>
      <t>/kmol</t>
    </r>
    <r>
      <rPr>
        <vertAlign val="subscript"/>
        <sz val="11"/>
        <rFont val="Arial"/>
        <family val="2"/>
      </rPr>
      <t>Fuel</t>
    </r>
  </si>
  <si>
    <r>
      <t>ft</t>
    </r>
    <r>
      <rPr>
        <vertAlign val="superscript"/>
        <sz val="10"/>
        <rFont val="Arial"/>
        <family val="2"/>
      </rPr>
      <t>3</t>
    </r>
  </si>
  <si>
    <r>
      <t>1  m</t>
    </r>
    <r>
      <rPr>
        <vertAlign val="superscript"/>
        <sz val="10"/>
        <rFont val="Arial"/>
        <family val="2"/>
      </rPr>
      <t>3</t>
    </r>
    <r>
      <rPr>
        <sz val="10"/>
        <rFont val="Arial"/>
        <family val="2"/>
      </rPr>
      <t xml:space="preserve"> =</t>
    </r>
  </si>
  <si>
    <r>
      <t>Nm</t>
    </r>
    <r>
      <rPr>
        <vertAlign val="superscript"/>
        <sz val="10"/>
        <rFont val="Arial"/>
        <family val="2"/>
      </rPr>
      <t>3</t>
    </r>
    <r>
      <rPr>
        <sz val="10"/>
        <rFont val="Arial"/>
        <family val="2"/>
      </rPr>
      <t>/kmol</t>
    </r>
  </si>
  <si>
    <r>
      <t>Nm</t>
    </r>
    <r>
      <rPr>
        <vertAlign val="superscript"/>
        <sz val="12"/>
        <rFont val="Arial"/>
        <family val="2"/>
      </rPr>
      <t>3</t>
    </r>
    <r>
      <rPr>
        <vertAlign val="subscript"/>
        <sz val="12"/>
        <rFont val="Arial"/>
        <family val="2"/>
      </rPr>
      <t>air</t>
    </r>
    <r>
      <rPr>
        <sz val="12"/>
        <rFont val="Arial"/>
        <family val="2"/>
      </rPr>
      <t>/kmol</t>
    </r>
    <r>
      <rPr>
        <vertAlign val="subscript"/>
        <sz val="12"/>
        <rFont val="Arial"/>
        <family val="2"/>
      </rPr>
      <t>air</t>
    </r>
  </si>
  <si>
    <t>359  std ft3/lbmole</t>
  </si>
  <si>
    <t>d55 =</t>
  </si>
  <si>
    <t>mol O2</t>
  </si>
  <si>
    <t>d56 =</t>
  </si>
  <si>
    <t>mol N2</t>
  </si>
  <si>
    <t>d25 =</t>
  </si>
  <si>
    <r>
      <t>mol</t>
    </r>
    <r>
      <rPr>
        <vertAlign val="subscript"/>
        <sz val="10"/>
        <rFont val="Arial"/>
        <family val="2"/>
      </rPr>
      <t>N24</t>
    </r>
    <r>
      <rPr>
        <sz val="10"/>
        <rFont val="Arial"/>
        <family val="2"/>
      </rPr>
      <t>/mol</t>
    </r>
    <r>
      <rPr>
        <vertAlign val="subscript"/>
        <sz val="10"/>
        <rFont val="Arial"/>
        <family val="2"/>
      </rPr>
      <t>Fuel</t>
    </r>
  </si>
  <si>
    <r>
      <t>O</t>
    </r>
    <r>
      <rPr>
        <vertAlign val="subscript"/>
        <sz val="10"/>
        <rFont val="Arial"/>
        <family val="2"/>
      </rPr>
      <t>2</t>
    </r>
    <r>
      <rPr>
        <sz val="10"/>
        <rFont val="Arial"/>
        <family val="2"/>
      </rPr>
      <t xml:space="preserve"> in =</t>
    </r>
  </si>
  <si>
    <r>
      <t>N</t>
    </r>
    <r>
      <rPr>
        <vertAlign val="subscript"/>
        <sz val="10"/>
        <rFont val="Arial"/>
        <family val="2"/>
      </rPr>
      <t>2</t>
    </r>
    <r>
      <rPr>
        <sz val="10"/>
        <rFont val="Arial"/>
        <family val="2"/>
      </rPr>
      <t xml:space="preserve"> in =</t>
    </r>
  </si>
  <si>
    <r>
      <t>N</t>
    </r>
    <r>
      <rPr>
        <vertAlign val="subscript"/>
        <sz val="10"/>
        <rFont val="Arial"/>
        <family val="2"/>
      </rPr>
      <t>2</t>
    </r>
    <r>
      <rPr>
        <sz val="10"/>
        <rFont val="Arial"/>
        <family val="2"/>
      </rPr>
      <t xml:space="preserve"> fuel =</t>
    </r>
  </si>
  <si>
    <t>SCFM / mole fuel</t>
  </si>
  <si>
    <r>
      <t>v</t>
    </r>
    <r>
      <rPr>
        <vertAlign val="subscript"/>
        <sz val="12"/>
        <rFont val="Arial"/>
        <family val="2"/>
      </rPr>
      <t>Air</t>
    </r>
    <r>
      <rPr>
        <sz val="12"/>
        <rFont val="Arial"/>
        <family val="2"/>
      </rPr>
      <t>,</t>
    </r>
    <r>
      <rPr>
        <vertAlign val="subscript"/>
        <sz val="12"/>
        <rFont val="Arial"/>
        <family val="2"/>
      </rPr>
      <t>stoic</t>
    </r>
    <r>
      <rPr>
        <sz val="12"/>
        <rFont val="Arial"/>
        <family val="2"/>
      </rPr>
      <t xml:space="preserve"> *(1+Exs)</t>
    </r>
  </si>
  <si>
    <t>Exs =</t>
  </si>
  <si>
    <r>
      <t>v</t>
    </r>
    <r>
      <rPr>
        <vertAlign val="subscript"/>
        <sz val="12"/>
        <rFont val="Arial"/>
        <family val="2"/>
      </rPr>
      <t>Air</t>
    </r>
    <r>
      <rPr>
        <sz val="12"/>
        <rFont val="Arial"/>
        <family val="2"/>
      </rPr>
      <t xml:space="preserve"> =</t>
    </r>
  </si>
  <si>
    <t xml:space="preserve"> 1  kg =</t>
  </si>
  <si>
    <t>lb</t>
  </si>
  <si>
    <r>
      <t>Nm</t>
    </r>
    <r>
      <rPr>
        <vertAlign val="superscript"/>
        <sz val="12"/>
        <rFont val="Arial"/>
        <family val="2"/>
      </rPr>
      <t>3</t>
    </r>
    <r>
      <rPr>
        <vertAlign val="subscript"/>
        <sz val="12"/>
        <rFont val="Arial"/>
        <family val="2"/>
      </rPr>
      <t>air</t>
    </r>
    <r>
      <rPr>
        <sz val="12"/>
        <rFont val="Arial"/>
        <family val="2"/>
      </rPr>
      <t>/kmol</t>
    </r>
    <r>
      <rPr>
        <vertAlign val="subscript"/>
        <sz val="12"/>
        <rFont val="Arial"/>
        <family val="2"/>
      </rPr>
      <t>Fuel</t>
    </r>
  </si>
  <si>
    <r>
      <t>SCF</t>
    </r>
    <r>
      <rPr>
        <vertAlign val="subscript"/>
        <sz val="12"/>
        <rFont val="Arial"/>
        <family val="2"/>
      </rPr>
      <t>air</t>
    </r>
    <r>
      <rPr>
        <sz val="12"/>
        <rFont val="Arial"/>
        <family val="2"/>
      </rPr>
      <t>/lbmol</t>
    </r>
    <r>
      <rPr>
        <vertAlign val="subscript"/>
        <sz val="12"/>
        <rFont val="Arial"/>
        <family val="2"/>
      </rPr>
      <t>Fuel</t>
    </r>
  </si>
  <si>
    <r>
      <t>SCF</t>
    </r>
    <r>
      <rPr>
        <vertAlign val="subscript"/>
        <sz val="12"/>
        <rFont val="Arial"/>
        <family val="2"/>
      </rPr>
      <t>air</t>
    </r>
    <r>
      <rPr>
        <sz val="12"/>
        <rFont val="Arial"/>
        <family val="2"/>
      </rPr>
      <t>/kmol</t>
    </r>
    <r>
      <rPr>
        <vertAlign val="subscript"/>
        <sz val="12"/>
        <rFont val="Arial"/>
        <family val="2"/>
      </rPr>
      <t>Fuel</t>
    </r>
  </si>
  <si>
    <r>
      <t>Heat Capacity Data From</t>
    </r>
    <r>
      <rPr>
        <i/>
        <sz val="10"/>
        <rFont val="Arial"/>
        <family val="2"/>
      </rPr>
      <t xml:space="preserve"> Smith and Van Ness, Introduction to Chemical Engineering Thermodynamics, 3rd ed. p 106-107. </t>
    </r>
  </si>
  <si>
    <t xml:space="preserve">Polynomial correlation  with 3 coefficients.. Temperature in degree K and heat capacity in units of BTU/(lb mole- deg F). </t>
  </si>
  <si>
    <r>
      <t>Cp</t>
    </r>
    <r>
      <rPr>
        <vertAlign val="subscript"/>
        <sz val="10"/>
        <rFont val="Arial"/>
        <family val="2"/>
      </rPr>
      <t>90</t>
    </r>
    <r>
      <rPr>
        <sz val="10"/>
        <rFont val="Arial"/>
        <family val="2"/>
      </rPr>
      <t xml:space="preserve"> </t>
    </r>
  </si>
  <si>
    <r>
      <t>Cp</t>
    </r>
    <r>
      <rPr>
        <vertAlign val="subscript"/>
        <sz val="10"/>
        <rFont val="Arial"/>
        <family val="2"/>
      </rPr>
      <t>T</t>
    </r>
    <r>
      <rPr>
        <sz val="10"/>
        <rFont val="Arial"/>
        <family val="2"/>
      </rPr>
      <t xml:space="preserve">  </t>
    </r>
  </si>
  <si>
    <r>
      <t>Integral of C</t>
    </r>
    <r>
      <rPr>
        <vertAlign val="subscript"/>
        <sz val="10"/>
        <rFont val="Arial"/>
        <family val="2"/>
      </rPr>
      <t>p</t>
    </r>
    <r>
      <rPr>
        <sz val="10"/>
        <rFont val="Arial"/>
        <family val="2"/>
      </rPr>
      <t xml:space="preserve"> </t>
    </r>
  </si>
  <si>
    <t>Coefficients for  Cp</t>
  </si>
  <si>
    <r>
      <t>at 90</t>
    </r>
    <r>
      <rPr>
        <vertAlign val="superscript"/>
        <sz val="10"/>
        <rFont val="Arial"/>
        <family val="2"/>
      </rPr>
      <t>o</t>
    </r>
    <r>
      <rPr>
        <sz val="10"/>
        <rFont val="Arial"/>
        <family val="2"/>
      </rPr>
      <t>F</t>
    </r>
  </si>
  <si>
    <t>at T ºF</t>
  </si>
  <si>
    <t>Average Cp</t>
  </si>
  <si>
    <t>Application for CH4</t>
  </si>
  <si>
    <r>
      <t>LHV</t>
    </r>
    <r>
      <rPr>
        <vertAlign val="subscript"/>
        <sz val="10"/>
        <rFont val="Arial"/>
        <family val="2"/>
      </rPr>
      <t>i</t>
    </r>
    <r>
      <rPr>
        <sz val="10"/>
        <rFont val="Arial"/>
        <family val="2"/>
      </rPr>
      <t xml:space="preserve"> * M</t>
    </r>
  </si>
  <si>
    <r>
      <t>N</t>
    </r>
    <r>
      <rPr>
        <vertAlign val="subscript"/>
        <sz val="10"/>
        <rFont val="Arial"/>
        <family val="2"/>
      </rPr>
      <t>in</t>
    </r>
  </si>
  <si>
    <r>
      <t>N</t>
    </r>
    <r>
      <rPr>
        <vertAlign val="subscript"/>
        <sz val="10"/>
        <rFont val="Arial"/>
        <family val="2"/>
      </rPr>
      <t>out</t>
    </r>
  </si>
  <si>
    <t>Mol In</t>
  </si>
  <si>
    <t>Mol Out</t>
  </si>
  <si>
    <r>
      <t>T</t>
    </r>
    <r>
      <rPr>
        <vertAlign val="subscript"/>
        <sz val="12"/>
        <rFont val="Arial"/>
        <family val="2"/>
      </rPr>
      <t>calc</t>
    </r>
    <r>
      <rPr>
        <sz val="12"/>
        <rFont val="Arial"/>
        <family val="2"/>
      </rPr>
      <t xml:space="preserve"> =</t>
    </r>
  </si>
  <si>
    <t>Use Tool  Goal Seek to Solve Iteratively</t>
  </si>
  <si>
    <t>Nitrogen entering, including excess air</t>
  </si>
  <si>
    <t>From sheet</t>
  </si>
  <si>
    <t>Inlet flow temperature</t>
  </si>
  <si>
    <t>initial outlet guess temperature</t>
  </si>
  <si>
    <t xml:space="preserve"> exc% =</t>
  </si>
  <si>
    <t xml:space="preserve">Excess air   </t>
  </si>
  <si>
    <t>[1]</t>
  </si>
  <si>
    <t>http://www.chemecalcs.com/rk.php</t>
  </si>
  <si>
    <t>The example is based on the reference [1] by Jeff Munic</t>
  </si>
  <si>
    <r>
      <t>T- Theoretical Temperature (</t>
    </r>
    <r>
      <rPr>
        <vertAlign val="superscript"/>
        <sz val="10"/>
        <rFont val="Arial"/>
        <family val="2"/>
      </rPr>
      <t>o</t>
    </r>
    <r>
      <rPr>
        <sz val="10"/>
        <rFont val="Arial"/>
        <family val="2"/>
      </rPr>
      <t>F)</t>
    </r>
  </si>
  <si>
    <r>
      <t>C</t>
    </r>
    <r>
      <rPr>
        <vertAlign val="subscript"/>
        <sz val="10"/>
        <rFont val="Arial"/>
        <family val="2"/>
      </rPr>
      <t>P</t>
    </r>
    <r>
      <rPr>
        <sz val="10"/>
        <rFont val="Arial"/>
        <family val="2"/>
      </rPr>
      <t xml:space="preserve"> - constant pressure heat capacity (btu/mole-</t>
    </r>
    <r>
      <rPr>
        <vertAlign val="superscript"/>
        <sz val="10"/>
        <rFont val="Arial"/>
        <family val="2"/>
      </rPr>
      <t>o</t>
    </r>
    <r>
      <rPr>
        <sz val="10"/>
        <rFont val="Arial"/>
        <family val="2"/>
      </rPr>
      <t>F)</t>
    </r>
  </si>
  <si>
    <r>
      <t>Y</t>
    </r>
    <r>
      <rPr>
        <vertAlign val="subscript"/>
        <sz val="10"/>
        <rFont val="Arial"/>
        <family val="2"/>
      </rPr>
      <t>i</t>
    </r>
    <r>
      <rPr>
        <sz val="10"/>
        <rFont val="Arial"/>
        <family val="2"/>
      </rPr>
      <t xml:space="preserve"> - Feed vapor phase mole fraction</t>
    </r>
  </si>
  <si>
    <r>
      <t>3) Develop mean heat capacity, C</t>
    </r>
    <r>
      <rPr>
        <vertAlign val="subscript"/>
        <sz val="10"/>
        <rFont val="Arial"/>
        <family val="2"/>
      </rPr>
      <t>p</t>
    </r>
    <r>
      <rPr>
        <sz val="10"/>
        <rFont val="Arial"/>
        <family val="2"/>
      </rPr>
      <t>, as a function of temperature using average value of a polynomial function.</t>
    </r>
  </si>
  <si>
    <r>
      <t>1 CH</t>
    </r>
    <r>
      <rPr>
        <vertAlign val="subscript"/>
        <sz val="10"/>
        <rFont val="Arial"/>
        <family val="2"/>
      </rPr>
      <t>4</t>
    </r>
    <r>
      <rPr>
        <sz val="10"/>
        <rFont val="Arial"/>
        <family val="2"/>
      </rPr>
      <t xml:space="preserve"> +</t>
    </r>
  </si>
  <si>
    <r>
      <t>O</t>
    </r>
    <r>
      <rPr>
        <vertAlign val="subscript"/>
        <sz val="10"/>
        <rFont val="Arial"/>
        <family val="2"/>
      </rPr>
      <t xml:space="preserve">2   </t>
    </r>
    <r>
      <rPr>
        <sz val="10"/>
        <rFont val="Arial"/>
        <family val="2"/>
      </rPr>
      <t xml:space="preserve"> =</t>
    </r>
  </si>
  <si>
    <r>
      <t>CO</t>
    </r>
    <r>
      <rPr>
        <vertAlign val="subscript"/>
        <sz val="10"/>
        <rFont val="Arial"/>
        <family val="2"/>
      </rPr>
      <t xml:space="preserve">2 </t>
    </r>
    <r>
      <rPr>
        <sz val="10"/>
        <rFont val="Arial"/>
        <family val="2"/>
      </rPr>
      <t>+</t>
    </r>
    <r>
      <rPr>
        <sz val="10"/>
        <rFont val="Arial"/>
        <family val="2"/>
      </rPr>
      <t xml:space="preserve"> </t>
    </r>
  </si>
  <si>
    <r>
      <t>H</t>
    </r>
    <r>
      <rPr>
        <vertAlign val="subscript"/>
        <sz val="10"/>
        <rFont val="Arial"/>
        <family val="2"/>
      </rPr>
      <t>2</t>
    </r>
    <r>
      <rPr>
        <sz val="10"/>
        <rFont val="Arial"/>
        <family val="2"/>
      </rPr>
      <t>O</t>
    </r>
  </si>
  <si>
    <r>
      <t>1 C</t>
    </r>
    <r>
      <rPr>
        <vertAlign val="subscript"/>
        <sz val="10"/>
        <rFont val="Arial"/>
        <family val="2"/>
      </rPr>
      <t>2</t>
    </r>
    <r>
      <rPr>
        <sz val="10"/>
        <rFont val="Arial"/>
        <family val="2"/>
      </rPr>
      <t>H</t>
    </r>
    <r>
      <rPr>
        <vertAlign val="subscript"/>
        <sz val="10"/>
        <rFont val="Arial"/>
        <family val="2"/>
      </rPr>
      <t>6</t>
    </r>
    <r>
      <rPr>
        <sz val="10"/>
        <rFont val="Arial"/>
        <family val="2"/>
      </rPr>
      <t xml:space="preserve"> +</t>
    </r>
  </si>
  <si>
    <r>
      <t>O</t>
    </r>
    <r>
      <rPr>
        <vertAlign val="subscript"/>
        <sz val="10"/>
        <rFont val="Arial"/>
        <family val="2"/>
      </rPr>
      <t>2</t>
    </r>
    <r>
      <rPr>
        <sz val="10"/>
        <rFont val="Arial"/>
        <family val="2"/>
      </rPr>
      <t xml:space="preserve">    =</t>
    </r>
  </si>
  <si>
    <r>
      <t>C</t>
    </r>
    <r>
      <rPr>
        <vertAlign val="subscript"/>
        <sz val="10"/>
        <rFont val="Arial"/>
        <family val="2"/>
      </rPr>
      <t>2</t>
    </r>
    <r>
      <rPr>
        <sz val="10"/>
        <rFont val="Arial"/>
        <family val="2"/>
      </rPr>
      <t>H</t>
    </r>
    <r>
      <rPr>
        <vertAlign val="subscript"/>
        <sz val="10"/>
        <rFont val="Arial"/>
        <family val="2"/>
      </rPr>
      <t>6</t>
    </r>
  </si>
  <si>
    <r>
      <t>CH</t>
    </r>
    <r>
      <rPr>
        <vertAlign val="subscript"/>
        <sz val="10"/>
        <rFont val="Arial"/>
        <family val="2"/>
      </rPr>
      <t>4</t>
    </r>
    <r>
      <rPr>
        <sz val="10"/>
        <rFont val="Arial"/>
        <family val="2"/>
      </rPr>
      <t xml:space="preserve"> in:</t>
    </r>
  </si>
  <si>
    <r>
      <t>C</t>
    </r>
    <r>
      <rPr>
        <vertAlign val="subscript"/>
        <sz val="10"/>
        <rFont val="Arial"/>
        <family val="2"/>
      </rPr>
      <t>2</t>
    </r>
    <r>
      <rPr>
        <sz val="10"/>
        <rFont val="Arial"/>
        <family val="2"/>
      </rPr>
      <t>H</t>
    </r>
    <r>
      <rPr>
        <vertAlign val="subscript"/>
        <sz val="10"/>
        <rFont val="Arial"/>
        <family val="2"/>
      </rPr>
      <t>6</t>
    </r>
    <r>
      <rPr>
        <sz val="10"/>
        <rFont val="Arial"/>
        <family val="2"/>
      </rPr>
      <t xml:space="preserve"> in:</t>
    </r>
  </si>
  <si>
    <r>
      <t>O</t>
    </r>
    <r>
      <rPr>
        <vertAlign val="subscript"/>
        <sz val="10"/>
        <rFont val="Arial"/>
        <family val="2"/>
      </rPr>
      <t>2</t>
    </r>
    <r>
      <rPr>
        <sz val="10"/>
        <rFont val="Arial"/>
        <family val="2"/>
      </rPr>
      <t xml:space="preserve"> in:</t>
    </r>
  </si>
  <si>
    <r>
      <t>N</t>
    </r>
    <r>
      <rPr>
        <vertAlign val="subscript"/>
        <sz val="10"/>
        <rFont val="Arial"/>
        <family val="2"/>
      </rPr>
      <t>2</t>
    </r>
    <r>
      <rPr>
        <sz val="10"/>
        <rFont val="Arial"/>
        <family val="2"/>
      </rPr>
      <t xml:space="preserve"> in:</t>
    </r>
  </si>
  <si>
    <r>
      <t>CO</t>
    </r>
    <r>
      <rPr>
        <vertAlign val="subscript"/>
        <sz val="10"/>
        <rFont val="Arial"/>
        <family val="2"/>
      </rPr>
      <t>2</t>
    </r>
    <r>
      <rPr>
        <sz val="10"/>
        <rFont val="Arial"/>
        <family val="2"/>
      </rPr>
      <t xml:space="preserve"> out:</t>
    </r>
    <r>
      <rPr>
        <sz val="10"/>
        <rFont val="Arial"/>
        <family val="2"/>
      </rPr>
      <t xml:space="preserve"> </t>
    </r>
  </si>
  <si>
    <r>
      <t>H</t>
    </r>
    <r>
      <rPr>
        <vertAlign val="subscript"/>
        <sz val="10"/>
        <rFont val="Arial"/>
        <family val="2"/>
      </rPr>
      <t>2</t>
    </r>
    <r>
      <rPr>
        <sz val="10"/>
        <rFont val="Arial"/>
        <family val="2"/>
      </rPr>
      <t>O out:</t>
    </r>
  </si>
  <si>
    <r>
      <t>N</t>
    </r>
    <r>
      <rPr>
        <vertAlign val="subscript"/>
        <sz val="10"/>
        <rFont val="Arial"/>
        <family val="2"/>
      </rPr>
      <t>2</t>
    </r>
    <r>
      <rPr>
        <sz val="10"/>
        <rFont val="Arial"/>
        <family val="2"/>
      </rPr>
      <t xml:space="preserve"> out:</t>
    </r>
  </si>
  <si>
    <r>
      <t>Heat of Combustion</t>
    </r>
    <r>
      <rPr>
        <sz val="10"/>
        <rFont val="Arial"/>
        <family val="2"/>
      </rPr>
      <t xml:space="preserve"> data from Robinson, </t>
    </r>
    <r>
      <rPr>
        <i/>
        <sz val="10"/>
        <rFont val="Arial"/>
        <family val="2"/>
      </rPr>
      <t>Chemical Engineering Reference Manual</t>
    </r>
    <r>
      <rPr>
        <sz val="10"/>
        <rFont val="Arial"/>
        <family val="2"/>
      </rPr>
      <t>, Table 2.1.  The value in BTU/mole is obtained by multiplying the Net Heat of Combustion (BTU/lb) by the molecular wt. (lb/mole).</t>
    </r>
  </si>
  <si>
    <r>
      <t>T</t>
    </r>
    <r>
      <rPr>
        <vertAlign val="subscript"/>
        <sz val="10"/>
        <rFont val="Arial"/>
        <family val="2"/>
      </rPr>
      <t>in</t>
    </r>
    <r>
      <rPr>
        <sz val="10"/>
        <rFont val="Arial"/>
        <family val="2"/>
      </rPr>
      <t xml:space="preserve"> = </t>
    </r>
  </si>
  <si>
    <r>
      <t>o</t>
    </r>
    <r>
      <rPr>
        <sz val="10"/>
        <rFont val="Arial"/>
        <family val="2"/>
      </rPr>
      <t>F</t>
    </r>
  </si>
  <si>
    <r>
      <t>T</t>
    </r>
    <r>
      <rPr>
        <vertAlign val="subscript"/>
        <sz val="10"/>
        <rFont val="Arial"/>
        <family val="2"/>
      </rPr>
      <t>guess</t>
    </r>
    <r>
      <rPr>
        <sz val="10"/>
        <rFont val="Arial"/>
        <family val="2"/>
      </rPr>
      <t>=</t>
    </r>
  </si>
  <si>
    <r>
      <t>o</t>
    </r>
    <r>
      <rPr>
        <sz val="10"/>
        <rFont val="Arial"/>
        <family val="2"/>
      </rPr>
      <t>K</t>
    </r>
  </si>
  <si>
    <r>
      <t>CO</t>
    </r>
    <r>
      <rPr>
        <vertAlign val="subscript"/>
        <sz val="10"/>
        <rFont val="Arial"/>
        <family val="2"/>
      </rPr>
      <t>2</t>
    </r>
    <r>
      <rPr>
        <sz val="10"/>
        <rFont val="Arial"/>
        <family val="2"/>
      </rPr>
      <t xml:space="preserve"> </t>
    </r>
  </si>
  <si>
    <r>
      <t>T</t>
    </r>
    <r>
      <rPr>
        <vertAlign val="subscript"/>
        <sz val="10"/>
        <rFont val="Arial"/>
        <family val="2"/>
      </rPr>
      <t>calc</t>
    </r>
    <r>
      <rPr>
        <sz val="10"/>
        <rFont val="Arial"/>
        <family val="2"/>
      </rPr>
      <t xml:space="preserve"> =</t>
    </r>
  </si>
  <si>
    <t>1  MJ/kg =</t>
  </si>
  <si>
    <t xml:space="preserve">Cp  / M </t>
  </si>
  <si>
    <t xml:space="preserve">  [ (Btu/(lb*ºF)) /  (kJ / (kg*K) ) ]</t>
  </si>
  <si>
    <t xml:space="preserve"> *     M</t>
  </si>
  <si>
    <t>Btu/(lbmol*R)</t>
  </si>
  <si>
    <t xml:space="preserve">      Cp     kJ/(kmol*K)</t>
  </si>
  <si>
    <t>(1/M)      kmol/kg</t>
  </si>
  <si>
    <t xml:space="preserve">[2] </t>
  </si>
  <si>
    <t>Gas Tables, Kennan and Kaye, Table 13</t>
  </si>
  <si>
    <t>Application for the case of nitrogen, using VBA functions from Keenan and Kayes data [2].</t>
  </si>
  <si>
    <t>Fuel inlet temperature</t>
  </si>
  <si>
    <r>
      <t>Btu/(lbmol</t>
    </r>
    <r>
      <rPr>
        <vertAlign val="subscript"/>
        <sz val="10"/>
        <rFont val="Arial"/>
        <family val="2"/>
      </rPr>
      <t>i</t>
    </r>
    <r>
      <rPr>
        <sz val="10"/>
        <rFont val="Arial"/>
        <family val="2"/>
      </rPr>
      <t xml:space="preserve"> * R)</t>
    </r>
  </si>
  <si>
    <r>
      <t>mol</t>
    </r>
    <r>
      <rPr>
        <vertAlign val="subscript"/>
        <sz val="10"/>
        <rFont val="Arial"/>
        <family val="2"/>
      </rPr>
      <t>i</t>
    </r>
    <r>
      <rPr>
        <sz val="10"/>
        <rFont val="Arial"/>
        <family val="2"/>
      </rPr>
      <t>/mol</t>
    </r>
    <r>
      <rPr>
        <vertAlign val="subscript"/>
        <sz val="10"/>
        <rFont val="Arial"/>
        <family val="2"/>
      </rPr>
      <t>F</t>
    </r>
  </si>
  <si>
    <r>
      <t>lbmol</t>
    </r>
    <r>
      <rPr>
        <vertAlign val="subscript"/>
        <sz val="10"/>
        <rFont val="Arial"/>
        <family val="2"/>
      </rPr>
      <t>i</t>
    </r>
    <r>
      <rPr>
        <sz val="10"/>
        <rFont val="Arial"/>
        <family val="2"/>
      </rPr>
      <t>/lbmol</t>
    </r>
    <r>
      <rPr>
        <vertAlign val="subscript"/>
        <sz val="10"/>
        <rFont val="Arial"/>
        <family val="2"/>
      </rPr>
      <t>F</t>
    </r>
  </si>
  <si>
    <r>
      <t>Btu/(lbmol</t>
    </r>
    <r>
      <rPr>
        <vertAlign val="subscript"/>
        <sz val="10"/>
        <rFont val="Arial"/>
        <family val="2"/>
      </rPr>
      <t>i</t>
    </r>
    <r>
      <rPr>
        <sz val="10"/>
        <rFont val="Arial"/>
        <family val="2"/>
      </rPr>
      <t>*R)</t>
    </r>
  </si>
  <si>
    <r>
      <t>Btu/(lbmol</t>
    </r>
    <r>
      <rPr>
        <vertAlign val="subscript"/>
        <sz val="10"/>
        <rFont val="Arial"/>
        <family val="2"/>
      </rPr>
      <t>F</t>
    </r>
    <r>
      <rPr>
        <sz val="10"/>
        <rFont val="Arial"/>
        <family val="2"/>
      </rPr>
      <t>*R)</t>
    </r>
  </si>
  <si>
    <r>
      <t xml:space="preserve"> N</t>
    </r>
    <r>
      <rPr>
        <vertAlign val="subscript"/>
        <sz val="10"/>
        <rFont val="Arial"/>
        <family val="2"/>
      </rPr>
      <t>i,ut</t>
    </r>
  </si>
  <si>
    <r>
      <t>N</t>
    </r>
    <r>
      <rPr>
        <vertAlign val="subscript"/>
        <sz val="10"/>
        <rFont val="Arial"/>
        <family val="2"/>
      </rPr>
      <t>i,ut</t>
    </r>
    <r>
      <rPr>
        <sz val="10"/>
        <rFont val="Arial"/>
        <family val="2"/>
      </rPr>
      <t>*Cp</t>
    </r>
  </si>
  <si>
    <r>
      <t>N</t>
    </r>
    <r>
      <rPr>
        <vertAlign val="subscript"/>
        <sz val="10"/>
        <rFont val="Arial"/>
        <family val="2"/>
      </rPr>
      <t>i,out</t>
    </r>
    <r>
      <rPr>
        <sz val="10"/>
        <rFont val="Arial"/>
        <family val="2"/>
      </rPr>
      <t>Cp =</t>
    </r>
  </si>
  <si>
    <r>
      <t>where  Y</t>
    </r>
    <r>
      <rPr>
        <vertAlign val="subscript"/>
        <sz val="10"/>
        <rFont val="Arial"/>
        <family val="2"/>
      </rPr>
      <t>i</t>
    </r>
    <r>
      <rPr>
        <sz val="10"/>
        <rFont val="Arial"/>
        <family val="2"/>
      </rPr>
      <t xml:space="preserve"> = N</t>
    </r>
    <r>
      <rPr>
        <vertAlign val="subscript"/>
        <sz val="10"/>
        <rFont val="Arial"/>
        <family val="2"/>
      </rPr>
      <t>i,out</t>
    </r>
  </si>
  <si>
    <r>
      <t>T</t>
    </r>
    <r>
      <rPr>
        <vertAlign val="subscript"/>
        <sz val="12"/>
        <rFont val="Arial"/>
        <family val="2"/>
      </rPr>
      <t>inºF</t>
    </r>
    <r>
      <rPr>
        <sz val="12"/>
        <rFont val="Arial"/>
        <family val="2"/>
      </rPr>
      <t xml:space="preserve"> + LHV / N</t>
    </r>
    <r>
      <rPr>
        <vertAlign val="subscript"/>
        <sz val="12"/>
        <rFont val="Arial"/>
        <family val="2"/>
      </rPr>
      <t>i,out</t>
    </r>
    <r>
      <rPr>
        <sz val="12"/>
        <rFont val="Arial"/>
        <family val="2"/>
      </rPr>
      <t xml:space="preserve">Cp </t>
    </r>
  </si>
  <si>
    <t>I141</t>
  </si>
  <si>
    <t>N107</t>
  </si>
  <si>
    <r>
      <t>n</t>
    </r>
    <r>
      <rPr>
        <vertAlign val="subscript"/>
        <sz val="12"/>
        <rFont val="Arial"/>
        <family val="2"/>
      </rPr>
      <t>%,i</t>
    </r>
  </si>
  <si>
    <t>1 mol</t>
  </si>
  <si>
    <t xml:space="preserve"> + </t>
  </si>
  <si>
    <r>
      <t>mol</t>
    </r>
    <r>
      <rPr>
        <vertAlign val="subscript"/>
        <sz val="10"/>
        <rFont val="Arial"/>
        <family val="2"/>
      </rPr>
      <t>O2</t>
    </r>
    <r>
      <rPr>
        <sz val="10"/>
        <rFont val="Arial"/>
        <family val="2"/>
      </rPr>
      <t>/mol</t>
    </r>
    <r>
      <rPr>
        <vertAlign val="subscript"/>
        <sz val="10"/>
        <rFont val="Arial"/>
        <family val="2"/>
      </rPr>
      <t>i</t>
    </r>
  </si>
  <si>
    <t>i</t>
  </si>
  <si>
    <r>
      <t>mol</t>
    </r>
    <r>
      <rPr>
        <vertAlign val="subscript"/>
        <sz val="10"/>
        <rFont val="Arial"/>
        <family val="2"/>
      </rPr>
      <t>i</t>
    </r>
    <r>
      <rPr>
        <sz val="10"/>
        <rFont val="Arial"/>
        <family val="2"/>
      </rPr>
      <t>/mol</t>
    </r>
    <r>
      <rPr>
        <vertAlign val="subscript"/>
        <sz val="10"/>
        <rFont val="Arial"/>
        <family val="2"/>
      </rPr>
      <t>Fuel</t>
    </r>
  </si>
  <si>
    <r>
      <t>mol</t>
    </r>
    <r>
      <rPr>
        <vertAlign val="subscript"/>
        <sz val="10"/>
        <rFont val="Arial"/>
        <family val="2"/>
      </rPr>
      <t>O2</t>
    </r>
    <r>
      <rPr>
        <sz val="10"/>
        <rFont val="Arial"/>
        <family val="2"/>
      </rPr>
      <t>/mol</t>
    </r>
    <r>
      <rPr>
        <vertAlign val="subscript"/>
        <sz val="10"/>
        <rFont val="Arial"/>
        <family val="2"/>
      </rPr>
      <t>F</t>
    </r>
  </si>
  <si>
    <r>
      <t>mol</t>
    </r>
    <r>
      <rPr>
        <vertAlign val="subscript"/>
        <sz val="10"/>
        <rFont val="Arial"/>
        <family val="2"/>
      </rPr>
      <t>CO2</t>
    </r>
    <r>
      <rPr>
        <sz val="10"/>
        <rFont val="Arial"/>
        <family val="2"/>
      </rPr>
      <t>/mol</t>
    </r>
    <r>
      <rPr>
        <vertAlign val="subscript"/>
        <sz val="10"/>
        <rFont val="Arial"/>
        <family val="2"/>
      </rPr>
      <t>i</t>
    </r>
  </si>
  <si>
    <r>
      <t>mol</t>
    </r>
    <r>
      <rPr>
        <vertAlign val="subscript"/>
        <sz val="10"/>
        <rFont val="Arial"/>
        <family val="2"/>
      </rPr>
      <t>H2O</t>
    </r>
    <r>
      <rPr>
        <sz val="10"/>
        <rFont val="Arial"/>
        <family val="2"/>
      </rPr>
      <t>/mol</t>
    </r>
    <r>
      <rPr>
        <vertAlign val="subscript"/>
        <sz val="10"/>
        <rFont val="Arial"/>
        <family val="2"/>
      </rPr>
      <t>F</t>
    </r>
  </si>
  <si>
    <t>exc =</t>
  </si>
  <si>
    <t>LHVi</t>
  </si>
  <si>
    <r>
      <t>CO</t>
    </r>
    <r>
      <rPr>
        <vertAlign val="subscript"/>
        <sz val="10"/>
        <rFont val="Arial"/>
        <family val="2"/>
      </rPr>
      <t>out</t>
    </r>
    <r>
      <rPr>
        <sz val="10"/>
        <rFont val="Arial"/>
        <family val="2"/>
      </rPr>
      <t xml:space="preserve"> =</t>
    </r>
  </si>
  <si>
    <t>Complete combustion</t>
  </si>
  <si>
    <r>
      <t>mol</t>
    </r>
    <r>
      <rPr>
        <vertAlign val="subscript"/>
        <sz val="10"/>
        <rFont val="Arial"/>
        <family val="2"/>
      </rPr>
      <t>CO</t>
    </r>
    <r>
      <rPr>
        <sz val="10"/>
        <rFont val="Arial"/>
        <family val="2"/>
      </rPr>
      <t>/mol</t>
    </r>
    <r>
      <rPr>
        <vertAlign val="subscript"/>
        <sz val="10"/>
        <rFont val="Arial"/>
        <family val="2"/>
      </rPr>
      <t>Fuel</t>
    </r>
  </si>
  <si>
    <r>
      <t>H2</t>
    </r>
    <r>
      <rPr>
        <vertAlign val="subscript"/>
        <sz val="10"/>
        <rFont val="Arial"/>
        <family val="2"/>
      </rPr>
      <t>out</t>
    </r>
    <r>
      <rPr>
        <sz val="10"/>
        <rFont val="Arial"/>
        <family val="2"/>
      </rPr>
      <t xml:space="preserve"> =</t>
    </r>
  </si>
  <si>
    <r>
      <t>mol</t>
    </r>
    <r>
      <rPr>
        <vertAlign val="subscript"/>
        <sz val="10"/>
        <rFont val="Arial"/>
        <family val="2"/>
      </rPr>
      <t>H2</t>
    </r>
    <r>
      <rPr>
        <sz val="10"/>
        <rFont val="Arial"/>
        <family val="2"/>
      </rPr>
      <t>/mol</t>
    </r>
    <r>
      <rPr>
        <vertAlign val="subscript"/>
        <sz val="10"/>
        <rFont val="Arial"/>
        <family val="2"/>
      </rPr>
      <t>Fuel</t>
    </r>
  </si>
  <si>
    <r>
      <t>kmol</t>
    </r>
    <r>
      <rPr>
        <vertAlign val="subscript"/>
        <sz val="8"/>
        <rFont val="Arial"/>
        <family val="2"/>
      </rPr>
      <t>i</t>
    </r>
    <r>
      <rPr>
        <sz val="8"/>
        <rFont val="Arial"/>
        <family val="2"/>
      </rPr>
      <t>/kmol</t>
    </r>
    <r>
      <rPr>
        <vertAlign val="subscript"/>
        <sz val="8"/>
        <rFont val="Arial"/>
        <family val="2"/>
      </rPr>
      <t>F</t>
    </r>
  </si>
  <si>
    <r>
      <t>kJ/kmol</t>
    </r>
    <r>
      <rPr>
        <vertAlign val="subscript"/>
        <sz val="10"/>
        <rFont val="Arial"/>
        <family val="2"/>
      </rPr>
      <t>i</t>
    </r>
  </si>
  <si>
    <r>
      <t>kJ/kmol</t>
    </r>
    <r>
      <rPr>
        <vertAlign val="subscript"/>
        <sz val="10"/>
        <rFont val="Arial"/>
        <family val="2"/>
      </rPr>
      <t>F</t>
    </r>
  </si>
  <si>
    <t>Gas_O2Enthalpy_tK</t>
  </si>
  <si>
    <t>Gas_H2OEnthalpy_tK</t>
  </si>
  <si>
    <t>Gas_CO2Enthalpy_tK</t>
  </si>
  <si>
    <t>Kelv =</t>
  </si>
  <si>
    <t>tin =</t>
  </si>
  <si>
    <t>ºC</t>
  </si>
  <si>
    <t>Tass =</t>
  </si>
  <si>
    <t>Tin [K]</t>
  </si>
  <si>
    <t>Tout [K]</t>
  </si>
  <si>
    <t>Assumed outlet temperature</t>
  </si>
  <si>
    <r>
      <t>h</t>
    </r>
    <r>
      <rPr>
        <vertAlign val="subscript"/>
        <sz val="10"/>
        <rFont val="Arial"/>
        <family val="2"/>
      </rPr>
      <t>in</t>
    </r>
  </si>
  <si>
    <r>
      <t>h</t>
    </r>
    <r>
      <rPr>
        <vertAlign val="subscript"/>
        <sz val="10"/>
        <rFont val="Arial"/>
        <family val="2"/>
      </rPr>
      <t>out</t>
    </r>
  </si>
  <si>
    <r>
      <rPr>
        <sz val="10"/>
        <rFont val="Symbol"/>
        <family val="1"/>
      </rPr>
      <t>D</t>
    </r>
    <r>
      <rPr>
        <sz val="10"/>
        <rFont val="Arial"/>
        <family val="2"/>
      </rPr>
      <t>h</t>
    </r>
  </si>
  <si>
    <r>
      <t>Cp</t>
    </r>
    <r>
      <rPr>
        <vertAlign val="subscript"/>
        <sz val="10"/>
        <rFont val="Arial"/>
        <family val="2"/>
      </rPr>
      <t>ave,i</t>
    </r>
  </si>
  <si>
    <r>
      <t>kJ/(kmol</t>
    </r>
    <r>
      <rPr>
        <vertAlign val="subscript"/>
        <sz val="10"/>
        <rFont val="Arial"/>
        <family val="2"/>
      </rPr>
      <t>i</t>
    </r>
    <r>
      <rPr>
        <sz val="10"/>
        <rFont val="Arial"/>
        <family val="2"/>
      </rPr>
      <t>*K)</t>
    </r>
  </si>
  <si>
    <r>
      <t>kJ/(kmol</t>
    </r>
    <r>
      <rPr>
        <vertAlign val="subscript"/>
        <sz val="10"/>
        <rFont val="Arial"/>
        <family val="2"/>
      </rPr>
      <t>F</t>
    </r>
    <r>
      <rPr>
        <sz val="10"/>
        <rFont val="Arial"/>
        <family val="2"/>
      </rPr>
      <t>*K)</t>
    </r>
  </si>
  <si>
    <r>
      <t>T</t>
    </r>
    <r>
      <rPr>
        <vertAlign val="subscript"/>
        <sz val="12"/>
        <rFont val="Arial"/>
        <family val="2"/>
      </rPr>
      <t>calc</t>
    </r>
    <r>
      <rPr>
        <sz val="12"/>
        <rFont val="Arial"/>
        <family val="2"/>
      </rPr>
      <t xml:space="preserve"> -T</t>
    </r>
    <r>
      <rPr>
        <vertAlign val="subscript"/>
        <sz val="12"/>
        <rFont val="Arial"/>
        <family val="2"/>
      </rPr>
      <t>ass</t>
    </r>
  </si>
  <si>
    <r>
      <rPr>
        <sz val="10"/>
        <rFont val="Symbol"/>
        <family val="1"/>
      </rPr>
      <t>D</t>
    </r>
    <r>
      <rPr>
        <sz val="10"/>
        <rFont val="Arial"/>
        <family val="2"/>
      </rPr>
      <t>T =</t>
    </r>
  </si>
  <si>
    <t>R</t>
  </si>
  <si>
    <t>Calculated adiabatic flame temperature</t>
  </si>
  <si>
    <t>Adiabatic flame temperature</t>
  </si>
  <si>
    <r>
      <t>kJ/kg</t>
    </r>
    <r>
      <rPr>
        <vertAlign val="subscript"/>
        <sz val="10"/>
        <rFont val="Arial"/>
        <family val="2"/>
      </rPr>
      <t>F</t>
    </r>
  </si>
  <si>
    <r>
      <t>kJ/kg</t>
    </r>
    <r>
      <rPr>
        <vertAlign val="subscript"/>
        <sz val="10"/>
        <rFont val="Arial"/>
        <family val="2"/>
      </rPr>
      <t>i</t>
    </r>
  </si>
  <si>
    <t>Btu</t>
  </si>
  <si>
    <t>1 kJ =</t>
  </si>
  <si>
    <r>
      <t>Btu/lb</t>
    </r>
    <r>
      <rPr>
        <vertAlign val="subscript"/>
        <sz val="10"/>
        <rFont val="Arial"/>
        <family val="2"/>
      </rPr>
      <t>F</t>
    </r>
  </si>
  <si>
    <r>
      <t>kg/kmol</t>
    </r>
    <r>
      <rPr>
        <vertAlign val="subscript"/>
        <sz val="10"/>
        <rFont val="Arial"/>
        <family val="2"/>
      </rPr>
      <t>i</t>
    </r>
  </si>
  <si>
    <r>
      <t>M</t>
    </r>
    <r>
      <rPr>
        <vertAlign val="subscript"/>
        <sz val="10"/>
        <rFont val="Arial"/>
        <family val="2"/>
      </rPr>
      <t>i</t>
    </r>
  </si>
  <si>
    <r>
      <t>kg/kmol</t>
    </r>
    <r>
      <rPr>
        <vertAlign val="subscript"/>
        <sz val="10"/>
        <rFont val="Arial"/>
        <family val="2"/>
      </rPr>
      <t>F</t>
    </r>
  </si>
  <si>
    <t>1  kJ/kg =</t>
  </si>
  <si>
    <t>Moles of</t>
  </si>
  <si>
    <t xml:space="preserve">components </t>
  </si>
  <si>
    <t>in fuel</t>
  </si>
  <si>
    <t>in exhaust gas</t>
  </si>
  <si>
    <t>Number of atoms in component</t>
  </si>
  <si>
    <t>C + H/4</t>
  </si>
  <si>
    <r>
      <t>N</t>
    </r>
    <r>
      <rPr>
        <vertAlign val="subscript"/>
        <sz val="10"/>
        <rFont val="Arial"/>
        <family val="2"/>
      </rPr>
      <t>CO2</t>
    </r>
    <r>
      <rPr>
        <sz val="10"/>
        <rFont val="Arial"/>
        <family val="2"/>
      </rPr>
      <t>/N</t>
    </r>
    <r>
      <rPr>
        <vertAlign val="subscript"/>
        <sz val="10"/>
        <rFont val="Arial"/>
        <family val="2"/>
      </rPr>
      <t>F</t>
    </r>
    <r>
      <rPr>
        <sz val="10"/>
        <rFont val="Arial"/>
        <family val="2"/>
      </rPr>
      <t xml:space="preserve"> =</t>
    </r>
  </si>
  <si>
    <t>Oxigen entering in a combustion with excess air</t>
  </si>
  <si>
    <t>Nitrogen entering in a combustion with excess air</t>
  </si>
  <si>
    <t>exhaust gas in a complete combustion process</t>
  </si>
  <si>
    <t>Carbon dioxide and hydrogen leaving with the</t>
  </si>
  <si>
    <r>
      <t>N</t>
    </r>
    <r>
      <rPr>
        <vertAlign val="subscript"/>
        <sz val="10"/>
        <rFont val="Arial"/>
        <family val="2"/>
      </rPr>
      <t>H2O</t>
    </r>
    <r>
      <rPr>
        <sz val="10"/>
        <rFont val="Arial"/>
        <family val="2"/>
      </rPr>
      <t>/N</t>
    </r>
    <r>
      <rPr>
        <vertAlign val="subscript"/>
        <sz val="10"/>
        <rFont val="Arial"/>
        <family val="2"/>
      </rPr>
      <t>F</t>
    </r>
    <r>
      <rPr>
        <sz val="10"/>
        <rFont val="Arial"/>
        <family val="2"/>
      </rPr>
      <t xml:space="preserve"> =</t>
    </r>
  </si>
  <si>
    <t xml:space="preserve">Components entering </t>
  </si>
  <si>
    <t>Components leaving</t>
  </si>
  <si>
    <t>Oxigen stoichometric</t>
  </si>
  <si>
    <t>Air stoichometric</t>
  </si>
  <si>
    <t>Standard volumetric air</t>
  </si>
  <si>
    <t>Standard volumetric stoichiometric air</t>
  </si>
  <si>
    <t>Nitrogen leaving in a combustion with excess air</t>
  </si>
  <si>
    <r>
      <t>N2</t>
    </r>
    <r>
      <rPr>
        <vertAlign val="subscript"/>
        <sz val="10"/>
        <rFont val="Arial"/>
        <family val="2"/>
      </rPr>
      <t>out</t>
    </r>
    <r>
      <rPr>
        <sz val="10"/>
        <rFont val="Arial"/>
        <family val="2"/>
      </rPr>
      <t xml:space="preserve"> =</t>
    </r>
  </si>
  <si>
    <r>
      <t>N2</t>
    </r>
    <r>
      <rPr>
        <vertAlign val="subscript"/>
        <sz val="10"/>
        <rFont val="Arial"/>
        <family val="2"/>
      </rPr>
      <t>in</t>
    </r>
  </si>
  <si>
    <r>
      <t>mol</t>
    </r>
    <r>
      <rPr>
        <vertAlign val="subscript"/>
        <sz val="10"/>
        <rFont val="Arial"/>
        <family val="2"/>
      </rPr>
      <t>N2</t>
    </r>
    <r>
      <rPr>
        <sz val="10"/>
        <rFont val="Arial"/>
        <family val="2"/>
      </rPr>
      <t>/mol</t>
    </r>
    <r>
      <rPr>
        <vertAlign val="subscript"/>
        <sz val="10"/>
        <rFont val="Arial"/>
        <family val="2"/>
      </rPr>
      <t>Fuel</t>
    </r>
  </si>
  <si>
    <t>Results</t>
  </si>
  <si>
    <t>Combustion products  (complete combustion)</t>
  </si>
  <si>
    <t>Components in exhaust gas</t>
  </si>
  <si>
    <r>
      <t>M</t>
    </r>
    <r>
      <rPr>
        <vertAlign val="subscript"/>
        <sz val="8"/>
        <rFont val="Arial"/>
        <family val="2"/>
      </rPr>
      <t>F</t>
    </r>
    <r>
      <rPr>
        <sz val="8"/>
        <rFont val="Arial"/>
        <family val="2"/>
      </rPr>
      <t xml:space="preserve"> =</t>
    </r>
  </si>
  <si>
    <r>
      <t>kg</t>
    </r>
    <r>
      <rPr>
        <vertAlign val="subscript"/>
        <sz val="8"/>
        <rFont val="Arial"/>
        <family val="2"/>
      </rPr>
      <t>F</t>
    </r>
    <r>
      <rPr>
        <sz val="8"/>
        <rFont val="Arial"/>
        <family val="2"/>
      </rPr>
      <t>/kmol</t>
    </r>
    <r>
      <rPr>
        <vertAlign val="subscript"/>
        <sz val="8"/>
        <rFont val="Arial"/>
        <family val="2"/>
      </rPr>
      <t>F</t>
    </r>
  </si>
  <si>
    <r>
      <t>LHV / M</t>
    </r>
    <r>
      <rPr>
        <vertAlign val="subscript"/>
        <sz val="10"/>
        <rFont val="Arial"/>
        <family val="2"/>
      </rPr>
      <t>F</t>
    </r>
  </si>
  <si>
    <r>
      <t>kJ/kg</t>
    </r>
    <r>
      <rPr>
        <vertAlign val="subscript"/>
        <sz val="10"/>
        <rFont val="Arial"/>
        <family val="2"/>
      </rPr>
      <t xml:space="preserve">F </t>
    </r>
    <r>
      <rPr>
        <sz val="10"/>
        <rFont val="Arial"/>
        <family val="2"/>
      </rPr>
      <t xml:space="preserve">   *</t>
    </r>
  </si>
  <si>
    <t>[Btu/lb] / [ kJ/kg]</t>
  </si>
  <si>
    <r>
      <t>lb</t>
    </r>
    <r>
      <rPr>
        <vertAlign val="subscript"/>
        <sz val="8"/>
        <rFont val="Arial"/>
        <family val="2"/>
      </rPr>
      <t>F</t>
    </r>
    <r>
      <rPr>
        <sz val="8"/>
        <rFont val="Arial"/>
        <family val="2"/>
      </rPr>
      <t>/lbmol</t>
    </r>
    <r>
      <rPr>
        <vertAlign val="subscript"/>
        <sz val="8"/>
        <rFont val="Arial"/>
        <family val="2"/>
      </rPr>
      <t>F</t>
    </r>
  </si>
  <si>
    <r>
      <t>Btu/lbmol</t>
    </r>
    <r>
      <rPr>
        <vertAlign val="subscript"/>
        <sz val="10"/>
        <rFont val="Arial"/>
        <family val="2"/>
      </rPr>
      <t xml:space="preserve">F  </t>
    </r>
  </si>
  <si>
    <t>From Example 1</t>
  </si>
  <si>
    <t>Lower heating value of fuel</t>
  </si>
  <si>
    <t>Adiabatic flame temperature table</t>
  </si>
  <si>
    <r>
      <t>T</t>
    </r>
    <r>
      <rPr>
        <vertAlign val="subscript"/>
        <sz val="10"/>
        <rFont val="Arial"/>
        <family val="2"/>
      </rPr>
      <t>ass</t>
    </r>
    <r>
      <rPr>
        <sz val="10"/>
        <rFont val="Arial"/>
        <family val="2"/>
      </rPr>
      <t xml:space="preserve"> =</t>
    </r>
  </si>
  <si>
    <t>CN =</t>
  </si>
  <si>
    <r>
      <t>Btu/(kmol</t>
    </r>
    <r>
      <rPr>
        <vertAlign val="subscript"/>
        <sz val="10"/>
        <rFont val="Arial"/>
        <family val="2"/>
      </rPr>
      <t>F</t>
    </r>
    <r>
      <rPr>
        <sz val="10"/>
        <rFont val="Arial"/>
        <family val="2"/>
      </rPr>
      <t>*K)</t>
    </r>
  </si>
  <si>
    <r>
      <t>Btu/(kmol</t>
    </r>
    <r>
      <rPr>
        <vertAlign val="subscript"/>
        <sz val="10"/>
        <rFont val="Arial"/>
        <family val="2"/>
      </rPr>
      <t>F</t>
    </r>
    <r>
      <rPr>
        <sz val="10"/>
        <rFont val="Arial"/>
        <family val="2"/>
      </rPr>
      <t>*R)</t>
    </r>
  </si>
  <si>
    <t xml:space="preserve"> 1  kmol =</t>
  </si>
  <si>
    <t>lbmol</t>
  </si>
  <si>
    <r>
      <t xml:space="preserve">compares to 3086 </t>
    </r>
    <r>
      <rPr>
        <i/>
        <vertAlign val="superscript"/>
        <sz val="10"/>
        <color indexed="12"/>
        <rFont val="Arial"/>
        <family val="2"/>
      </rPr>
      <t>º</t>
    </r>
    <r>
      <rPr>
        <i/>
        <sz val="10"/>
        <color indexed="12"/>
        <rFont val="Arial"/>
        <family val="2"/>
      </rPr>
      <t>F in Example SI</t>
    </r>
  </si>
  <si>
    <t>Data from Chemcalcs Example 1</t>
  </si>
  <si>
    <t>Solution for the adiabatic flame temperature</t>
  </si>
  <si>
    <t xml:space="preserve"> T =</t>
  </si>
  <si>
    <t>calculated temperatures</t>
  </si>
  <si>
    <t>Difference between assumed and</t>
  </si>
  <si>
    <r>
      <t>Btu/lb</t>
    </r>
    <r>
      <rPr>
        <vertAlign val="subscript"/>
        <sz val="10"/>
        <rFont val="Arial"/>
        <family val="2"/>
      </rPr>
      <t>F</t>
    </r>
    <r>
      <rPr>
        <sz val="10"/>
        <rFont val="Arial"/>
        <family val="2"/>
      </rPr>
      <t xml:space="preserve">     *</t>
    </r>
  </si>
  <si>
    <t xml:space="preserve">VBA functions for enthalpy of gases </t>
  </si>
  <si>
    <t xml:space="preserve">A mixture of gases of the composition given in table "Fuel mixture"  </t>
  </si>
  <si>
    <r>
      <t>n</t>
    </r>
    <r>
      <rPr>
        <vertAlign val="subscript"/>
        <sz val="8"/>
        <rFont val="Arial"/>
        <family val="2"/>
      </rPr>
      <t>%,i</t>
    </r>
  </si>
  <si>
    <r>
      <t>T</t>
    </r>
    <r>
      <rPr>
        <vertAlign val="subscript"/>
        <sz val="12"/>
        <rFont val="Arial"/>
        <family val="2"/>
      </rPr>
      <t>in</t>
    </r>
    <r>
      <rPr>
        <sz val="12"/>
        <rFont val="Arial"/>
        <family val="2"/>
      </rPr>
      <t xml:space="preserve"> + LHV /CN</t>
    </r>
  </si>
  <si>
    <t>Solution</t>
  </si>
  <si>
    <r>
      <t>[lb</t>
    </r>
    <r>
      <rPr>
        <vertAlign val="subscript"/>
        <sz val="7"/>
        <rFont val="Arial"/>
        <family val="2"/>
      </rPr>
      <t>F</t>
    </r>
    <r>
      <rPr>
        <sz val="7"/>
        <rFont val="Arial"/>
        <family val="2"/>
      </rPr>
      <t>/lbmol</t>
    </r>
    <r>
      <rPr>
        <vertAlign val="subscript"/>
        <sz val="7"/>
        <rFont val="Arial"/>
        <family val="2"/>
      </rPr>
      <t>F</t>
    </r>
    <r>
      <rPr>
        <sz val="7"/>
        <rFont val="Arial"/>
        <family val="2"/>
      </rPr>
      <t xml:space="preserve">] </t>
    </r>
  </si>
  <si>
    <r>
      <t>T</t>
    </r>
    <r>
      <rPr>
        <vertAlign val="subscript"/>
        <sz val="10"/>
        <rFont val="Arial"/>
        <family val="2"/>
      </rPr>
      <t>ad</t>
    </r>
    <r>
      <rPr>
        <sz val="10"/>
        <rFont val="Arial"/>
        <family val="2"/>
      </rPr>
      <t xml:space="preserve"> =</t>
    </r>
  </si>
  <si>
    <r>
      <t>t</t>
    </r>
    <r>
      <rPr>
        <vertAlign val="subscript"/>
        <sz val="10"/>
        <rFont val="Arial"/>
        <family val="2"/>
      </rPr>
      <t>a</t>
    </r>
    <r>
      <rPr>
        <sz val="10"/>
        <rFont val="Arial"/>
        <family val="2"/>
      </rPr>
      <t xml:space="preserve"> =</t>
    </r>
  </si>
  <si>
    <r>
      <t>t</t>
    </r>
    <r>
      <rPr>
        <vertAlign val="subscript"/>
        <sz val="10"/>
        <rFont val="Arial"/>
        <family val="2"/>
      </rPr>
      <t>ad</t>
    </r>
    <r>
      <rPr>
        <sz val="10"/>
        <rFont val="Arial"/>
        <family val="2"/>
      </rPr>
      <t xml:space="preserve"> =</t>
    </r>
  </si>
  <si>
    <t>Rank =</t>
  </si>
  <si>
    <t>LH/NC</t>
  </si>
  <si>
    <t xml:space="preserve"> is burned with an excess air "exc%".</t>
  </si>
  <si>
    <r>
      <t>t</t>
    </r>
    <r>
      <rPr>
        <vertAlign val="subscript"/>
        <sz val="10"/>
        <rFont val="Arial"/>
        <family val="2"/>
      </rPr>
      <t>in</t>
    </r>
    <r>
      <rPr>
        <sz val="10"/>
        <rFont val="Arial"/>
        <family val="2"/>
      </rPr>
      <t xml:space="preserve"> =</t>
    </r>
  </si>
  <si>
    <r>
      <t>T</t>
    </r>
    <r>
      <rPr>
        <vertAlign val="subscript"/>
        <sz val="10"/>
        <rFont val="Arial"/>
        <family val="2"/>
      </rPr>
      <t>in</t>
    </r>
    <r>
      <rPr>
        <sz val="10"/>
        <rFont val="Arial"/>
        <family val="2"/>
      </rPr>
      <t xml:space="preserve"> =</t>
    </r>
  </si>
  <si>
    <r>
      <t>The temperature of the supplied fuel and air is "t</t>
    </r>
    <r>
      <rPr>
        <vertAlign val="subscript"/>
        <sz val="10"/>
        <rFont val="Arial"/>
        <family val="2"/>
      </rPr>
      <t>in</t>
    </r>
    <r>
      <rPr>
        <sz val="10"/>
        <rFont val="Arial"/>
        <family val="2"/>
      </rPr>
      <t>"</t>
    </r>
  </si>
  <si>
    <r>
      <t>kmol</t>
    </r>
    <r>
      <rPr>
        <vertAlign val="subscript"/>
        <sz val="10"/>
        <rFont val="Arial"/>
        <family val="2"/>
      </rPr>
      <t>i</t>
    </r>
    <r>
      <rPr>
        <sz val="10"/>
        <rFont val="Arial"/>
        <family val="2"/>
      </rPr>
      <t>/kmol</t>
    </r>
    <r>
      <rPr>
        <vertAlign val="subscript"/>
        <sz val="10"/>
        <rFont val="Arial"/>
        <family val="2"/>
      </rPr>
      <t>F</t>
    </r>
  </si>
  <si>
    <t>Example of the oxigen requirements for the combustion of methane.</t>
  </si>
  <si>
    <t>C + O2  ---&gt;  CO2</t>
  </si>
  <si>
    <t xml:space="preserve"> - The combustion of carbon "C" to form carbon dioxide "CO2" requires 1 mol of oxigen</t>
  </si>
  <si>
    <t xml:space="preserve"> - The combustion of hydrogen "H4" to form water "H2O" requires 1 mol of oxigen</t>
  </si>
  <si>
    <t xml:space="preserve"> H2 + O  ---&gt;   H2O</t>
  </si>
  <si>
    <t xml:space="preserve">2*(H2) +  O2  ---&gt;   </t>
  </si>
  <si>
    <t>2H2O</t>
  </si>
  <si>
    <t>Thus, the combustion of CH4 requires 2 mol O2</t>
  </si>
  <si>
    <t>Note 1</t>
  </si>
  <si>
    <r>
      <t>n</t>
    </r>
    <r>
      <rPr>
        <vertAlign val="subscript"/>
        <sz val="10"/>
        <rFont val="Arial"/>
        <family val="2"/>
      </rPr>
      <t>fract</t>
    </r>
  </si>
  <si>
    <t>required</t>
  </si>
  <si>
    <r>
      <t>Moles O</t>
    </r>
    <r>
      <rPr>
        <vertAlign val="subscript"/>
        <sz val="10"/>
        <rFont val="Arial"/>
        <family val="2"/>
      </rPr>
      <t>2</t>
    </r>
    <r>
      <rPr>
        <sz val="10"/>
        <rFont val="Arial"/>
        <family val="2"/>
      </rPr>
      <t xml:space="preserve"> </t>
    </r>
  </si>
  <si>
    <r>
      <t>Moles CO</t>
    </r>
    <r>
      <rPr>
        <vertAlign val="subscript"/>
        <sz val="10"/>
        <rFont val="Arial"/>
        <family val="2"/>
      </rPr>
      <t>2</t>
    </r>
  </si>
  <si>
    <t>produced</t>
  </si>
  <si>
    <r>
      <t>Moles H</t>
    </r>
    <r>
      <rPr>
        <vertAlign val="subscript"/>
        <sz val="10"/>
        <rFont val="Arial"/>
        <family val="2"/>
      </rPr>
      <t>2</t>
    </r>
    <r>
      <rPr>
        <sz val="10"/>
        <rFont val="Arial"/>
        <family val="2"/>
      </rPr>
      <t>O</t>
    </r>
  </si>
  <si>
    <t>rev.cjc.17.04.2018</t>
  </si>
  <si>
    <t>Moles O2 required</t>
  </si>
  <si>
    <t>Stoichiometric oxygen requirement</t>
  </si>
  <si>
    <r>
      <t>O2</t>
    </r>
    <r>
      <rPr>
        <vertAlign val="subscript"/>
        <sz val="10"/>
        <rFont val="Arial"/>
        <family val="2"/>
      </rPr>
      <t>req.</t>
    </r>
    <r>
      <rPr>
        <sz val="10"/>
        <rFont val="Arial"/>
        <family val="2"/>
      </rPr>
      <t xml:space="preserve"> =</t>
    </r>
  </si>
  <si>
    <t>C =</t>
  </si>
  <si>
    <t>H =</t>
  </si>
  <si>
    <r>
      <t>n</t>
    </r>
    <r>
      <rPr>
        <vertAlign val="subscript"/>
        <sz val="10"/>
        <rFont val="Arial"/>
        <family val="2"/>
      </rPr>
      <t>O2,CH4</t>
    </r>
    <r>
      <rPr>
        <sz val="10"/>
        <rFont val="Arial"/>
        <family val="2"/>
      </rPr>
      <t xml:space="preserve">  =</t>
    </r>
  </si>
  <si>
    <t xml:space="preserve">Heat capacity calculation does not make use of the polynomial correlation </t>
  </si>
  <si>
    <t>These functions interpolate data from Kennan and Kaye tables [2]</t>
  </si>
  <si>
    <t>from Smith and Van Ness. Instead, VBA functions are used.</t>
  </si>
  <si>
    <r>
      <t>n</t>
    </r>
    <r>
      <rPr>
        <vertAlign val="subscript"/>
        <sz val="9"/>
        <rFont val="Arial"/>
        <family val="2"/>
      </rPr>
      <t>O2,CH4</t>
    </r>
    <r>
      <rPr>
        <sz val="9"/>
        <rFont val="Arial"/>
        <family val="2"/>
      </rPr>
      <t xml:space="preserve">  =</t>
    </r>
  </si>
  <si>
    <r>
      <t>n</t>
    </r>
    <r>
      <rPr>
        <vertAlign val="subscript"/>
        <sz val="12"/>
        <rFont val="Arial"/>
        <family val="2"/>
      </rPr>
      <t>O2,i</t>
    </r>
    <r>
      <rPr>
        <sz val="12"/>
        <rFont val="Arial"/>
        <family val="2"/>
      </rPr>
      <t xml:space="preserve"> </t>
    </r>
  </si>
  <si>
    <r>
      <t>n</t>
    </r>
    <r>
      <rPr>
        <vertAlign val="subscript"/>
        <sz val="12"/>
        <rFont val="Arial"/>
        <family val="2"/>
      </rPr>
      <t>CO2,i</t>
    </r>
    <r>
      <rPr>
        <sz val="12"/>
        <rFont val="Arial"/>
        <family val="2"/>
      </rPr>
      <t xml:space="preserve"> </t>
    </r>
  </si>
  <si>
    <r>
      <t>n</t>
    </r>
    <r>
      <rPr>
        <vertAlign val="subscript"/>
        <sz val="12"/>
        <rFont val="Arial"/>
        <family val="2"/>
      </rPr>
      <t>H2O,i</t>
    </r>
    <r>
      <rPr>
        <sz val="12"/>
        <rFont val="Arial"/>
        <family val="2"/>
      </rPr>
      <t xml:space="preserve"> </t>
    </r>
  </si>
  <si>
    <t>That is, for 1 mol C,  1 mol O2 required</t>
  </si>
  <si>
    <t>That is, for 2 mol H2, 1 mol O2 required</t>
  </si>
  <si>
    <r>
      <rPr>
        <sz val="12"/>
        <rFont val="Symbol"/>
        <family val="1"/>
      </rPr>
      <t>S</t>
    </r>
    <r>
      <rPr>
        <sz val="12"/>
        <rFont val="Arial"/>
        <family val="2"/>
      </rPr>
      <t xml:space="preserve"> (n</t>
    </r>
    <r>
      <rPr>
        <vertAlign val="subscript"/>
        <sz val="12"/>
        <rFont val="Arial"/>
        <family val="2"/>
      </rPr>
      <t xml:space="preserve">O2,i </t>
    </r>
    <r>
      <rPr>
        <sz val="12"/>
        <rFont val="Arial"/>
        <family val="2"/>
      </rPr>
      <t>* n</t>
    </r>
    <r>
      <rPr>
        <vertAlign val="subscript"/>
        <sz val="12"/>
        <rFont val="Arial"/>
        <family val="2"/>
      </rPr>
      <t>fract,i</t>
    </r>
    <r>
      <rPr>
        <sz val="12"/>
        <rFont val="Arial"/>
        <family val="2"/>
      </rPr>
      <t xml:space="preserve"> )</t>
    </r>
  </si>
  <si>
    <r>
      <t>n</t>
    </r>
    <r>
      <rPr>
        <vertAlign val="subscript"/>
        <sz val="12"/>
        <rFont val="Arial"/>
        <family val="2"/>
      </rPr>
      <t>fracti</t>
    </r>
  </si>
  <si>
    <r>
      <t>n</t>
    </r>
    <r>
      <rPr>
        <vertAlign val="subscript"/>
        <sz val="12"/>
        <rFont val="Arial"/>
        <family val="2"/>
      </rPr>
      <t>O2,i</t>
    </r>
    <r>
      <rPr>
        <sz val="12"/>
        <rFont val="Arial"/>
        <family val="2"/>
      </rPr>
      <t xml:space="preserve"> * n</t>
    </r>
    <r>
      <rPr>
        <vertAlign val="subscript"/>
        <sz val="12"/>
        <rFont val="Arial"/>
        <family val="2"/>
      </rPr>
      <t>fract,i</t>
    </r>
  </si>
  <si>
    <r>
      <t>n</t>
    </r>
    <r>
      <rPr>
        <vertAlign val="subscript"/>
        <sz val="10"/>
        <rFont val="Arial"/>
        <family val="2"/>
      </rPr>
      <t>O2</t>
    </r>
    <r>
      <rPr>
        <sz val="10"/>
        <rFont val="Arial"/>
        <family val="2"/>
      </rPr>
      <t>/n</t>
    </r>
    <r>
      <rPr>
        <vertAlign val="subscript"/>
        <sz val="10"/>
        <rFont val="Arial"/>
        <family val="2"/>
      </rPr>
      <t>F</t>
    </r>
    <r>
      <rPr>
        <sz val="10"/>
        <rFont val="Arial"/>
        <family val="2"/>
      </rPr>
      <t xml:space="preserve"> =</t>
    </r>
  </si>
  <si>
    <r>
      <rPr>
        <sz val="12"/>
        <rFont val="Symbol"/>
        <family val="1"/>
      </rPr>
      <t>S</t>
    </r>
    <r>
      <rPr>
        <sz val="12"/>
        <rFont val="Arial"/>
        <family val="2"/>
      </rPr>
      <t xml:space="preserve"> (n</t>
    </r>
    <r>
      <rPr>
        <vertAlign val="subscript"/>
        <sz val="12"/>
        <rFont val="Arial"/>
        <family val="2"/>
      </rPr>
      <t xml:space="preserve">CO2,i </t>
    </r>
    <r>
      <rPr>
        <sz val="12"/>
        <rFont val="Arial"/>
        <family val="2"/>
      </rPr>
      <t>* n</t>
    </r>
    <r>
      <rPr>
        <vertAlign val="subscript"/>
        <sz val="12"/>
        <rFont val="Arial"/>
        <family val="2"/>
      </rPr>
      <t>fract,i</t>
    </r>
    <r>
      <rPr>
        <sz val="12"/>
        <rFont val="Arial"/>
        <family val="2"/>
      </rPr>
      <t xml:space="preserve"> )</t>
    </r>
  </si>
  <si>
    <r>
      <t>n</t>
    </r>
    <r>
      <rPr>
        <vertAlign val="subscript"/>
        <sz val="10"/>
        <rFont val="Arial"/>
        <family val="2"/>
      </rPr>
      <t>CO2</t>
    </r>
    <r>
      <rPr>
        <sz val="10"/>
        <rFont val="Arial"/>
        <family val="2"/>
      </rPr>
      <t>/n</t>
    </r>
    <r>
      <rPr>
        <vertAlign val="subscript"/>
        <sz val="10"/>
        <rFont val="Arial"/>
        <family val="2"/>
      </rPr>
      <t>F</t>
    </r>
    <r>
      <rPr>
        <sz val="10"/>
        <rFont val="Arial"/>
        <family val="2"/>
      </rPr>
      <t xml:space="preserve"> =</t>
    </r>
  </si>
  <si>
    <t>Water leavig in the products</t>
  </si>
  <si>
    <r>
      <rPr>
        <sz val="12"/>
        <rFont val="Symbol"/>
        <family val="1"/>
      </rPr>
      <t>S</t>
    </r>
    <r>
      <rPr>
        <sz val="12"/>
        <rFont val="Arial"/>
        <family val="2"/>
      </rPr>
      <t xml:space="preserve"> (n</t>
    </r>
    <r>
      <rPr>
        <vertAlign val="subscript"/>
        <sz val="12"/>
        <rFont val="Arial"/>
        <family val="2"/>
      </rPr>
      <t xml:space="preserve">H2O2,i </t>
    </r>
    <r>
      <rPr>
        <sz val="12"/>
        <rFont val="Arial"/>
        <family val="2"/>
      </rPr>
      <t>* n</t>
    </r>
    <r>
      <rPr>
        <vertAlign val="subscript"/>
        <sz val="12"/>
        <rFont val="Arial"/>
        <family val="2"/>
      </rPr>
      <t>fract,i</t>
    </r>
    <r>
      <rPr>
        <sz val="12"/>
        <rFont val="Arial"/>
        <family val="2"/>
      </rPr>
      <t xml:space="preserve"> )</t>
    </r>
  </si>
  <si>
    <r>
      <t>n</t>
    </r>
    <r>
      <rPr>
        <vertAlign val="subscript"/>
        <sz val="10"/>
        <rFont val="Arial"/>
        <family val="2"/>
      </rPr>
      <t>CO2,i</t>
    </r>
    <r>
      <rPr>
        <sz val="10"/>
        <rFont val="Arial"/>
        <family val="2"/>
      </rPr>
      <t xml:space="preserve"> * n</t>
    </r>
    <r>
      <rPr>
        <vertAlign val="subscript"/>
        <sz val="10"/>
        <rFont val="Arial"/>
        <family val="2"/>
      </rPr>
      <t>fract,i</t>
    </r>
  </si>
  <si>
    <r>
      <t>mol</t>
    </r>
    <r>
      <rPr>
        <vertAlign val="subscript"/>
        <sz val="10"/>
        <rFont val="Arial"/>
        <family val="2"/>
      </rPr>
      <t>H2</t>
    </r>
    <r>
      <rPr>
        <sz val="10"/>
        <rFont val="Arial"/>
        <family val="2"/>
      </rPr>
      <t>/mol</t>
    </r>
    <r>
      <rPr>
        <vertAlign val="subscript"/>
        <sz val="10"/>
        <rFont val="Arial"/>
        <family val="2"/>
      </rPr>
      <t>i</t>
    </r>
  </si>
  <si>
    <r>
      <t>n</t>
    </r>
    <r>
      <rPr>
        <vertAlign val="subscript"/>
        <sz val="10"/>
        <rFont val="Arial"/>
        <family val="2"/>
      </rPr>
      <t>H2O,i</t>
    </r>
    <r>
      <rPr>
        <sz val="10"/>
        <rFont val="Arial"/>
        <family val="2"/>
      </rPr>
      <t xml:space="preserve"> * n</t>
    </r>
    <r>
      <rPr>
        <vertAlign val="subscript"/>
        <sz val="10"/>
        <rFont val="Arial"/>
        <family val="2"/>
      </rPr>
      <t>fract,i</t>
    </r>
  </si>
  <si>
    <r>
      <t>mol</t>
    </r>
    <r>
      <rPr>
        <vertAlign val="subscript"/>
        <sz val="10"/>
        <rFont val="Arial"/>
        <family val="2"/>
      </rPr>
      <t>CO2</t>
    </r>
    <r>
      <rPr>
        <sz val="10"/>
        <rFont val="Arial"/>
        <family val="2"/>
      </rPr>
      <t>/mol</t>
    </r>
    <r>
      <rPr>
        <vertAlign val="subscript"/>
        <sz val="10"/>
        <rFont val="Arial"/>
        <family val="2"/>
      </rPr>
      <t>F</t>
    </r>
  </si>
  <si>
    <t>Mol fraction</t>
  </si>
  <si>
    <r>
      <t>n</t>
    </r>
    <r>
      <rPr>
        <vertAlign val="subscript"/>
        <sz val="10"/>
        <rFont val="Arial"/>
        <family val="2"/>
      </rPr>
      <t>i,n</t>
    </r>
  </si>
  <si>
    <r>
      <t>n</t>
    </r>
    <r>
      <rPr>
        <vertAlign val="subscript"/>
        <sz val="10"/>
        <rFont val="Arial"/>
        <family val="2"/>
      </rPr>
      <t>out</t>
    </r>
  </si>
  <si>
    <t>Enthalpies</t>
  </si>
  <si>
    <t>at temperatures</t>
  </si>
  <si>
    <t>Enthalpy</t>
  </si>
  <si>
    <t>difference</t>
  </si>
  <si>
    <r>
      <rPr>
        <sz val="10"/>
        <rFont val="Symbol"/>
        <family val="1"/>
      </rPr>
      <t>D</t>
    </r>
    <r>
      <rPr>
        <sz val="10"/>
        <rFont val="Arial"/>
        <family val="2"/>
      </rPr>
      <t>h = h</t>
    </r>
    <r>
      <rPr>
        <vertAlign val="subscript"/>
        <sz val="10"/>
        <rFont val="Arial"/>
        <family val="2"/>
      </rPr>
      <t>out</t>
    </r>
    <r>
      <rPr>
        <sz val="10"/>
        <rFont val="Arial"/>
        <family val="2"/>
      </rPr>
      <t xml:space="preserve"> - h</t>
    </r>
    <r>
      <rPr>
        <vertAlign val="subscript"/>
        <sz val="10"/>
        <rFont val="Arial"/>
        <family val="2"/>
      </rPr>
      <t>in</t>
    </r>
  </si>
  <si>
    <t>Temperature</t>
  </si>
  <si>
    <r>
      <rPr>
        <sz val="12"/>
        <rFont val="Symbol"/>
        <family val="1"/>
      </rPr>
      <t>D</t>
    </r>
    <r>
      <rPr>
        <sz val="12"/>
        <rFont val="Arial"/>
        <family val="2"/>
      </rPr>
      <t>h</t>
    </r>
    <r>
      <rPr>
        <vertAlign val="subscript"/>
        <sz val="12"/>
        <rFont val="Arial"/>
        <family val="2"/>
      </rPr>
      <t>i</t>
    </r>
    <r>
      <rPr>
        <sz val="12"/>
        <rFont val="Arial"/>
        <family val="2"/>
      </rPr>
      <t xml:space="preserve"> / </t>
    </r>
    <r>
      <rPr>
        <sz val="12"/>
        <rFont val="Symbol"/>
        <family val="1"/>
      </rPr>
      <t>D</t>
    </r>
    <r>
      <rPr>
        <sz val="12"/>
        <rFont val="Arial"/>
        <family val="2"/>
      </rPr>
      <t>T</t>
    </r>
  </si>
  <si>
    <r>
      <t>Cp</t>
    </r>
    <r>
      <rPr>
        <vertAlign val="subscript"/>
        <sz val="10"/>
        <rFont val="Arial"/>
        <family val="2"/>
      </rPr>
      <t>ave,i</t>
    </r>
    <r>
      <rPr>
        <sz val="10"/>
        <rFont val="Arial"/>
        <family val="2"/>
      </rPr>
      <t xml:space="preserve"> * n</t>
    </r>
    <r>
      <rPr>
        <vertAlign val="subscript"/>
        <sz val="10"/>
        <rFont val="Arial"/>
        <family val="2"/>
      </rPr>
      <t>out</t>
    </r>
  </si>
  <si>
    <r>
      <t>Cp</t>
    </r>
    <r>
      <rPr>
        <vertAlign val="subscript"/>
        <sz val="10"/>
        <rFont val="Arial"/>
        <family val="2"/>
      </rPr>
      <t>ave,i</t>
    </r>
    <r>
      <rPr>
        <sz val="10"/>
        <rFont val="Arial"/>
        <family val="2"/>
      </rPr>
      <t xml:space="preserve"> * n</t>
    </r>
    <r>
      <rPr>
        <vertAlign val="subscript"/>
        <sz val="10"/>
        <rFont val="Arial"/>
        <family val="2"/>
      </rPr>
      <t xml:space="preserve">out </t>
    </r>
    <r>
      <rPr>
        <sz val="10"/>
        <rFont val="Arial"/>
        <family val="2"/>
      </rPr>
      <t>=</t>
    </r>
  </si>
  <si>
    <r>
      <t>n</t>
    </r>
    <r>
      <rPr>
        <vertAlign val="subscript"/>
        <sz val="12"/>
        <rFont val="Arial"/>
        <family val="2"/>
      </rPr>
      <t>fracti,in</t>
    </r>
  </si>
  <si>
    <r>
      <t>LHV</t>
    </r>
    <r>
      <rPr>
        <vertAlign val="subscript"/>
        <sz val="10"/>
        <rFont val="Arial"/>
        <family val="2"/>
      </rPr>
      <t>i</t>
    </r>
    <r>
      <rPr>
        <sz val="10"/>
        <rFont val="Arial"/>
        <family val="2"/>
      </rPr>
      <t>*n</t>
    </r>
    <r>
      <rPr>
        <vertAlign val="subscript"/>
        <sz val="10"/>
        <rFont val="Arial"/>
        <family val="2"/>
      </rPr>
      <t>fract,in</t>
    </r>
  </si>
  <si>
    <r>
      <t>M</t>
    </r>
    <r>
      <rPr>
        <vertAlign val="subscript"/>
        <sz val="10"/>
        <rFont val="Arial"/>
        <family val="2"/>
      </rPr>
      <t>i</t>
    </r>
    <r>
      <rPr>
        <sz val="10"/>
        <rFont val="Arial"/>
        <family val="2"/>
      </rPr>
      <t>*n</t>
    </r>
    <r>
      <rPr>
        <vertAlign val="subscript"/>
        <sz val="10"/>
        <rFont val="Arial"/>
        <family val="2"/>
      </rPr>
      <t>fract,i</t>
    </r>
  </si>
  <si>
    <r>
      <t>M</t>
    </r>
    <r>
      <rPr>
        <vertAlign val="subscript"/>
        <sz val="12"/>
        <rFont val="Arial"/>
        <family val="2"/>
      </rPr>
      <t>F</t>
    </r>
    <r>
      <rPr>
        <sz val="12"/>
        <rFont val="Arial"/>
        <family val="2"/>
      </rPr>
      <t xml:space="preserve"> =</t>
    </r>
  </si>
  <si>
    <r>
      <t>n</t>
    </r>
    <r>
      <rPr>
        <vertAlign val="subscript"/>
        <sz val="10"/>
        <rFont val="Arial"/>
        <family val="2"/>
      </rPr>
      <t>fract,in</t>
    </r>
  </si>
  <si>
    <t>t =</t>
  </si>
  <si>
    <r>
      <rPr>
        <sz val="10"/>
        <rFont val="Symbol"/>
        <family val="1"/>
      </rPr>
      <t>D</t>
    </r>
    <r>
      <rPr>
        <sz val="10"/>
        <rFont val="Arial"/>
        <family val="2"/>
      </rPr>
      <t>t</t>
    </r>
    <r>
      <rPr>
        <sz val="10"/>
        <rFont val="Arial"/>
        <family val="0"/>
      </rPr>
      <t xml:space="preserve"> =</t>
    </r>
  </si>
  <si>
    <t>Adiabatic Flame Temperature.  Example Calculation</t>
  </si>
  <si>
    <t>Jeff. Munic</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</si>
</sst>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000"/>
    <numFmt numFmtId="165" formatCode="0.0000E+00"/>
    <numFmt numFmtId="166" formatCode="0.0"/>
    <numFmt numFmtId="167" formatCode="0.000E+00"/>
    <numFmt numFmtId="168" formatCode="0.00_)"/>
    <numFmt numFmtId="169" formatCode="0.000_)"/>
    <numFmt numFmtId="170" formatCode="#,##0.000"/>
    <numFmt numFmtId="171" formatCode="#,##0.0"/>
    <numFmt numFmtId="172" formatCode="0.000000"/>
    <numFmt numFmtId="173" formatCode="0.00000"/>
    <numFmt numFmtId="174" formatCode="0.0000"/>
  </numFmts>
  <fonts count="106">
    <font>
      <sz val="10"/>
      <name val="Arial"/>
      <family val="0"/>
    </font>
    <font>
      <sz val="11"/>
      <color indexed="8"/>
      <name val="Calibri"/>
      <family val="2"/>
    </font>
    <font>
      <sz val="8"/>
      <name val="Arial"/>
      <family val="2"/>
    </font>
    <font>
      <b/>
      <sz val="10"/>
      <name val="Arial"/>
      <family val="2"/>
    </font>
    <font>
      <u val="single"/>
      <sz val="10"/>
      <name val="Arial"/>
      <family val="2"/>
    </font>
    <font>
      <vertAlign val="subscript"/>
      <sz val="10"/>
      <name val="Arial"/>
      <family val="2"/>
    </font>
    <font>
      <vertAlign val="superscript"/>
      <sz val="10"/>
      <name val="Arial"/>
      <family val="2"/>
    </font>
    <font>
      <sz val="8"/>
      <name val="Tahoma"/>
      <family val="2"/>
    </font>
    <font>
      <b/>
      <sz val="8"/>
      <name val="Tahoma"/>
      <family val="2"/>
    </font>
    <font>
      <sz val="10"/>
      <color indexed="12"/>
      <name val="Arial"/>
      <family val="2"/>
    </font>
    <font>
      <i/>
      <sz val="10"/>
      <name val="Arial"/>
      <family val="2"/>
    </font>
    <font>
      <sz val="10"/>
      <name val="WP Greek Century"/>
      <family val="0"/>
    </font>
    <font>
      <sz val="9"/>
      <name val="Arial"/>
      <family val="2"/>
    </font>
    <font>
      <vertAlign val="subscript"/>
      <sz val="10"/>
      <color indexed="12"/>
      <name val="Arial"/>
      <family val="2"/>
    </font>
    <font>
      <b/>
      <sz val="10"/>
      <color indexed="12"/>
      <name val="Arial"/>
      <family val="2"/>
    </font>
    <font>
      <b/>
      <vertAlign val="superscript"/>
      <sz val="10"/>
      <color indexed="12"/>
      <name val="Arial"/>
      <family val="2"/>
    </font>
    <font>
      <b/>
      <u val="single"/>
      <sz val="10"/>
      <name val="Arial"/>
      <family val="2"/>
    </font>
    <font>
      <i/>
      <sz val="10"/>
      <color indexed="12"/>
      <name val="Arial"/>
      <family val="2"/>
    </font>
    <font>
      <u val="single"/>
      <sz val="10"/>
      <color indexed="12"/>
      <name val="Arial"/>
      <family val="2"/>
    </font>
    <font>
      <i/>
      <vertAlign val="superscript"/>
      <sz val="10"/>
      <color indexed="12"/>
      <name val="Arial"/>
      <family val="2"/>
    </font>
    <font>
      <b/>
      <sz val="9"/>
      <name val="Arial"/>
      <family val="2"/>
    </font>
    <font>
      <b/>
      <sz val="9"/>
      <name val="WP Greek Century"/>
      <family val="0"/>
    </font>
    <font>
      <b/>
      <sz val="12"/>
      <name val="Arial"/>
      <family val="2"/>
    </font>
    <font>
      <sz val="12"/>
      <name val="Arial"/>
      <family val="2"/>
    </font>
    <font>
      <vertAlign val="subscript"/>
      <sz val="12"/>
      <name val="Arial"/>
      <family val="2"/>
    </font>
    <font>
      <b/>
      <sz val="12"/>
      <color indexed="12"/>
      <name val="Arial"/>
      <family val="2"/>
    </font>
    <font>
      <b/>
      <sz val="10"/>
      <color indexed="10"/>
      <name val="Arial"/>
      <family val="2"/>
    </font>
    <font>
      <sz val="10"/>
      <color indexed="8"/>
      <name val="Arial"/>
      <family val="2"/>
    </font>
    <font>
      <b/>
      <sz val="10"/>
      <color indexed="9"/>
      <name val="Arial"/>
      <family val="2"/>
    </font>
    <font>
      <sz val="8"/>
      <color indexed="40"/>
      <name val="Calibri"/>
      <family val="2"/>
    </font>
    <font>
      <b/>
      <sz val="10"/>
      <color indexed="40"/>
      <name val="Arial"/>
      <family val="2"/>
    </font>
    <font>
      <u val="single"/>
      <sz val="10"/>
      <color indexed="30"/>
      <name val="Arial"/>
      <family val="2"/>
    </font>
    <font>
      <sz val="10"/>
      <color indexed="30"/>
      <name val="Arial"/>
      <family val="2"/>
    </font>
    <font>
      <sz val="10"/>
      <color indexed="40"/>
      <name val="Arial"/>
      <family val="2"/>
    </font>
    <font>
      <vertAlign val="subscript"/>
      <sz val="10"/>
      <color indexed="40"/>
      <name val="Arial"/>
      <family val="2"/>
    </font>
    <font>
      <sz val="11"/>
      <color indexed="8"/>
      <name val="Arial"/>
      <family val="2"/>
    </font>
    <font>
      <b/>
      <sz val="11"/>
      <color indexed="40"/>
      <name val="Calibri"/>
      <family val="2"/>
    </font>
    <font>
      <sz val="11"/>
      <color indexed="8"/>
      <name val="Symbol"/>
      <family val="1"/>
    </font>
    <font>
      <vertAlign val="subscript"/>
      <sz val="11"/>
      <color indexed="8"/>
      <name val="Calibri"/>
      <family val="2"/>
    </font>
    <font>
      <sz val="12"/>
      <name val="Symbol"/>
      <family val="1"/>
    </font>
    <font>
      <sz val="10"/>
      <name val="Symbol"/>
      <family val="1"/>
    </font>
    <font>
      <sz val="11"/>
      <name val="Arial"/>
      <family val="2"/>
    </font>
    <font>
      <vertAlign val="subscript"/>
      <sz val="11"/>
      <name val="Arial"/>
      <family val="2"/>
    </font>
    <font>
      <vertAlign val="superscript"/>
      <sz val="12"/>
      <name val="Arial"/>
      <family val="2"/>
    </font>
    <font>
      <sz val="8"/>
      <color indexed="40"/>
      <name val="Arial"/>
      <family val="2"/>
    </font>
    <font>
      <sz val="8"/>
      <color indexed="8"/>
      <name val="Arial"/>
      <family val="2"/>
    </font>
    <font>
      <vertAlign val="subscript"/>
      <sz val="8"/>
      <name val="Arial"/>
      <family val="2"/>
    </font>
    <font>
      <sz val="12"/>
      <color indexed="22"/>
      <name val="Arial"/>
      <family val="2"/>
    </font>
    <font>
      <b/>
      <sz val="12"/>
      <color indexed="40"/>
      <name val="Arial"/>
      <family val="2"/>
    </font>
    <font>
      <sz val="7"/>
      <name val="Arial"/>
      <family val="2"/>
    </font>
    <font>
      <vertAlign val="subscript"/>
      <sz val="7"/>
      <name val="Arial"/>
      <family val="2"/>
    </font>
    <font>
      <vertAlign val="subscript"/>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Arial"/>
      <family val="2"/>
    </font>
    <font>
      <u val="single"/>
      <sz val="8"/>
      <color indexed="8"/>
      <name val="Arial"/>
      <family val="2"/>
    </font>
    <font>
      <sz val="8"/>
      <color indexed="8"/>
      <name val="Calibri"/>
      <family val="2"/>
    </font>
    <font>
      <vertAlign val="subscript"/>
      <sz val="8"/>
      <color indexed="8"/>
      <name val="Arial"/>
      <family val="2"/>
    </font>
    <font>
      <sz val="9"/>
      <color indexed="8"/>
      <name val="Arial"/>
      <family val="2"/>
    </font>
    <font>
      <vertAlign val="subscrip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rgb="FFFF0000"/>
      <name val="Arial"/>
      <family val="2"/>
    </font>
    <font>
      <sz val="8"/>
      <color rgb="FF00B0F0"/>
      <name val="Calibri"/>
      <family val="2"/>
    </font>
    <font>
      <b/>
      <sz val="10"/>
      <color rgb="FF00B0F0"/>
      <name val="Arial"/>
      <family val="2"/>
    </font>
    <font>
      <sz val="10"/>
      <color theme="10"/>
      <name val="Arial"/>
      <family val="2"/>
    </font>
    <font>
      <sz val="10"/>
      <color rgb="FF00B0F0"/>
      <name val="Arial"/>
      <family val="2"/>
    </font>
    <font>
      <sz val="10"/>
      <color theme="1"/>
      <name val="Arial"/>
      <family val="2"/>
    </font>
    <font>
      <sz val="11"/>
      <color theme="1"/>
      <name val="Arial"/>
      <family val="2"/>
    </font>
    <font>
      <b/>
      <sz val="11"/>
      <color rgb="FF00B0F0"/>
      <name val="Calibri"/>
      <family val="2"/>
    </font>
    <font>
      <sz val="8"/>
      <color rgb="FF00B0F0"/>
      <name val="Arial"/>
      <family val="2"/>
    </font>
    <font>
      <b/>
      <sz val="10"/>
      <color theme="0"/>
      <name val="Arial"/>
      <family val="2"/>
    </font>
    <font>
      <sz val="8"/>
      <color theme="1"/>
      <name val="Arial"/>
      <family val="2"/>
    </font>
    <font>
      <sz val="12"/>
      <color theme="0" tint="-0.04997999966144562"/>
      <name val="Arial"/>
      <family val="2"/>
    </font>
    <font>
      <b/>
      <sz val="12"/>
      <color rgb="FF00B0F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rgb="FFFFC000"/>
        <bgColor indexed="64"/>
      </patternFill>
    </fill>
    <fill>
      <patternFill patternType="solid">
        <fgColor rgb="FF7030A0"/>
        <bgColor indexed="64"/>
      </patternFill>
    </fill>
    <fill>
      <patternFill patternType="solid">
        <fgColor theme="5" tint="-0.4999699890613556"/>
        <bgColor indexed="64"/>
      </patternFill>
    </fill>
    <fill>
      <patternFill patternType="solid">
        <fgColor rgb="FF92D050"/>
        <bgColor indexed="64"/>
      </patternFill>
    </fill>
    <fill>
      <patternFill patternType="solid">
        <fgColor theme="7" tint="-0.24997000396251678"/>
        <bgColor indexed="64"/>
      </patternFill>
    </fill>
  </fills>
  <borders count="1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color indexed="12"/>
      </right>
      <top style="thin">
        <color indexed="12"/>
      </top>
      <bottom style="thin">
        <color indexed="12"/>
      </bottom>
    </border>
    <border>
      <left/>
      <right style="medium">
        <color indexed="8"/>
      </right>
      <top/>
      <bottom/>
    </border>
    <border>
      <left style="thin"/>
      <right style="medium">
        <color indexed="8"/>
      </right>
      <top style="thin"/>
      <bottom style="thin"/>
    </border>
    <border>
      <left style="medium">
        <color indexed="8"/>
      </left>
      <right/>
      <top/>
      <bottom/>
    </border>
    <border>
      <left/>
      <right/>
      <top style="thin">
        <color indexed="12"/>
      </top>
      <bottom style="thin">
        <color indexed="12"/>
      </bottom>
    </border>
    <border>
      <left style="thin">
        <color rgb="FF00B0F0"/>
      </left>
      <right/>
      <top style="thin">
        <color rgb="FF00B0F0"/>
      </top>
      <bottom/>
    </border>
    <border>
      <left style="thin">
        <color rgb="FF00B0F0"/>
      </left>
      <right/>
      <top style="thin">
        <color rgb="FF00B0F0"/>
      </top>
      <bottom style="thin">
        <color rgb="FF00B0F0"/>
      </bottom>
    </border>
    <border>
      <left/>
      <right/>
      <top style="thin">
        <color rgb="FF00B0F0"/>
      </top>
      <bottom style="thin">
        <color rgb="FF00B0F0"/>
      </bottom>
    </border>
    <border>
      <left style="thin">
        <color rgb="FF00B0F0"/>
      </left>
      <right style="thin">
        <color rgb="FF00B0F0"/>
      </right>
      <top style="thin">
        <color rgb="FF00B0F0"/>
      </top>
      <bottom style="thin">
        <color rgb="FF00B0F0"/>
      </bottom>
    </border>
    <border>
      <left style="thin">
        <color rgb="FF00B0F0"/>
      </left>
      <right/>
      <top/>
      <bottom/>
    </border>
    <border>
      <left style="thin">
        <color rgb="FF00B0F0"/>
      </left>
      <right/>
      <top/>
      <bottom style="thin">
        <color rgb="FF00B0F0"/>
      </bottom>
    </border>
    <border>
      <left style="thin">
        <color rgb="FF00B0F0"/>
      </left>
      <right style="thin">
        <color rgb="FF00B0F0"/>
      </right>
      <top style="thin">
        <color rgb="FF00B0F0"/>
      </top>
      <bottom/>
    </border>
    <border>
      <left style="thin">
        <color rgb="FF00B0F0"/>
      </left>
      <right style="thin">
        <color rgb="FF00B0F0"/>
      </right>
      <top/>
      <bottom/>
    </border>
    <border>
      <left/>
      <right style="thin">
        <color rgb="FF00B0F0"/>
      </right>
      <top style="thin">
        <color rgb="FF00B0F0"/>
      </top>
      <bottom/>
    </border>
    <border>
      <left/>
      <right style="thin">
        <color rgb="FF00B0F0"/>
      </right>
      <top/>
      <bottom/>
    </border>
    <border>
      <left/>
      <right style="thin">
        <color rgb="FF00B0F0"/>
      </right>
      <top/>
      <bottom style="thin">
        <color rgb="FF00B0F0"/>
      </bottom>
    </border>
    <border>
      <left style="thin"/>
      <right style="thin"/>
      <top style="thin"/>
      <bottom style="medium">
        <color rgb="FF00B0F0"/>
      </bottom>
    </border>
    <border>
      <left/>
      <right style="thin"/>
      <top style="thin"/>
      <bottom style="thin"/>
    </border>
    <border>
      <left style="thin"/>
      <right style="medium">
        <color rgb="FF00B0F0"/>
      </right>
      <top style="thin"/>
      <bottom style="medium">
        <color rgb="FF00B0F0"/>
      </bottom>
    </border>
    <border>
      <left style="thin"/>
      <right/>
      <top style="thin"/>
      <bottom style="thin"/>
    </border>
    <border>
      <left style="medium">
        <color rgb="FF00B0F0"/>
      </left>
      <right style="thin"/>
      <top/>
      <bottom style="medium">
        <color rgb="FF00B0F0"/>
      </bottom>
    </border>
    <border>
      <left style="thin"/>
      <right style="thin"/>
      <top/>
      <bottom style="medium">
        <color rgb="FF00B0F0"/>
      </bottom>
    </border>
    <border>
      <left style="thin">
        <color indexed="12"/>
      </left>
      <right/>
      <top style="thin">
        <color indexed="12"/>
      </top>
      <bottom style="thin">
        <color indexed="12"/>
      </bottom>
    </border>
    <border>
      <left/>
      <right/>
      <top style="thin">
        <color rgb="FF00B0F0"/>
      </top>
      <bottom/>
    </border>
    <border>
      <left/>
      <right/>
      <top/>
      <bottom style="thin">
        <color rgb="FF00B0F0"/>
      </bottom>
    </border>
    <border>
      <left style="double">
        <color rgb="FF00B0F0"/>
      </left>
      <right/>
      <top style="double">
        <color rgb="FF00B0F0"/>
      </top>
      <bottom/>
    </border>
    <border>
      <left/>
      <right/>
      <top style="double">
        <color rgb="FF00B0F0"/>
      </top>
      <bottom/>
    </border>
    <border>
      <left/>
      <right style="double">
        <color rgb="FF00B0F0"/>
      </right>
      <top style="double">
        <color rgb="FF00B0F0"/>
      </top>
      <bottom/>
    </border>
    <border>
      <left style="double">
        <color rgb="FF00B0F0"/>
      </left>
      <right/>
      <top/>
      <bottom/>
    </border>
    <border>
      <left/>
      <right style="double">
        <color rgb="FF00B0F0"/>
      </right>
      <top/>
      <bottom/>
    </border>
    <border>
      <left style="medium">
        <color rgb="FF00B0F0"/>
      </left>
      <right style="medium">
        <color rgb="FF00B0F0"/>
      </right>
      <top style="medium">
        <color rgb="FF00B0F0"/>
      </top>
      <bottom/>
    </border>
    <border>
      <left style="medium">
        <color rgb="FF00B0F0"/>
      </left>
      <right style="medium">
        <color rgb="FF00B0F0"/>
      </right>
      <top/>
      <bottom/>
    </border>
    <border>
      <left style="medium">
        <color rgb="FF00B0F0"/>
      </left>
      <right/>
      <top style="medium">
        <color rgb="FF00B0F0"/>
      </top>
      <bottom/>
    </border>
    <border>
      <left/>
      <right style="thin">
        <color rgb="FF00B0F0"/>
      </right>
      <top style="medium">
        <color rgb="FF00B0F0"/>
      </top>
      <bottom style="thin">
        <color rgb="FF00B0F0"/>
      </bottom>
    </border>
    <border>
      <left style="thin">
        <color rgb="FF00B0F0"/>
      </left>
      <right style="medium">
        <color rgb="FF00B0F0"/>
      </right>
      <top style="medium">
        <color rgb="FF00B0F0"/>
      </top>
      <bottom style="thin">
        <color rgb="FF00B0F0"/>
      </bottom>
    </border>
    <border>
      <left style="medium">
        <color rgb="FF00B0F0"/>
      </left>
      <right/>
      <top/>
      <bottom/>
    </border>
    <border>
      <left/>
      <right style="thin">
        <color rgb="FF00B0F0"/>
      </right>
      <top style="thin">
        <color rgb="FF00B0F0"/>
      </top>
      <bottom style="thin">
        <color rgb="FF00B0F0"/>
      </bottom>
    </border>
    <border>
      <left style="thin">
        <color rgb="FF00B0F0"/>
      </left>
      <right style="medium">
        <color rgb="FF00B0F0"/>
      </right>
      <top style="thin">
        <color rgb="FF00B0F0"/>
      </top>
      <bottom style="thin">
        <color rgb="FF00B0F0"/>
      </bottom>
    </border>
    <border>
      <left style="medium">
        <color rgb="FF00B0F0"/>
      </left>
      <right style="medium">
        <color rgb="FF00B0F0"/>
      </right>
      <top/>
      <bottom style="medium">
        <color rgb="FF00B0F0"/>
      </bottom>
    </border>
    <border>
      <left/>
      <right style="thin">
        <color rgb="FF00B0F0"/>
      </right>
      <top style="thin">
        <color rgb="FF00B0F0"/>
      </top>
      <bottom style="medium">
        <color rgb="FF00B0F0"/>
      </bottom>
    </border>
    <border>
      <left style="thin">
        <color rgb="FF00B0F0"/>
      </left>
      <right style="medium">
        <color rgb="FF00B0F0"/>
      </right>
      <top style="thin">
        <color rgb="FF00B0F0"/>
      </top>
      <bottom style="medium">
        <color rgb="FF00B0F0"/>
      </bottom>
    </border>
    <border>
      <left style="medium">
        <color rgb="FF00B0F0"/>
      </left>
      <right style="medium">
        <color rgb="FF00B0F0"/>
      </right>
      <top/>
      <bottom style="thin">
        <color rgb="FF00B0F0"/>
      </bottom>
    </border>
    <border>
      <left style="medium">
        <color rgb="FF00B0F0"/>
      </left>
      <right/>
      <top style="medium">
        <color rgb="FF00B0F0"/>
      </top>
      <bottom style="thin">
        <color rgb="FF00B0F0"/>
      </bottom>
    </border>
    <border>
      <left style="medium">
        <color rgb="FF00B0F0"/>
      </left>
      <right style="thin">
        <color rgb="FF00B0F0"/>
      </right>
      <top style="medium">
        <color rgb="FF00B0F0"/>
      </top>
      <bottom style="thin">
        <color rgb="FF00B0F0"/>
      </bottom>
    </border>
    <border>
      <left style="thin">
        <color rgb="FF00B0F0"/>
      </left>
      <right style="medium">
        <color rgb="FF00B0F0"/>
      </right>
      <top/>
      <bottom style="thin">
        <color rgb="FF00B0F0"/>
      </bottom>
    </border>
    <border>
      <left style="medium">
        <color rgb="FF00B0F0"/>
      </left>
      <right style="medium">
        <color rgb="FF00B0F0"/>
      </right>
      <top style="thin">
        <color rgb="FF00B0F0"/>
      </top>
      <bottom style="thin">
        <color rgb="FF00B0F0"/>
      </bottom>
    </border>
    <border>
      <left style="medium">
        <color rgb="FF00B0F0"/>
      </left>
      <right/>
      <top style="thin">
        <color rgb="FF00B0F0"/>
      </top>
      <bottom style="thin">
        <color rgb="FF00B0F0"/>
      </bottom>
    </border>
    <border>
      <left style="medium">
        <color rgb="FF00B0F0"/>
      </left>
      <right style="thin">
        <color rgb="FF00B0F0"/>
      </right>
      <top style="thin">
        <color rgb="FF00B0F0"/>
      </top>
      <bottom style="thin">
        <color rgb="FF00B0F0"/>
      </bottom>
    </border>
    <border>
      <left style="thin">
        <color rgb="FF00B0F0"/>
      </left>
      <right style="medium">
        <color rgb="FF00B0F0"/>
      </right>
      <top style="thin">
        <color rgb="FF00B0F0"/>
      </top>
      <bottom/>
    </border>
    <border>
      <left style="medium">
        <color rgb="FF00B0F0"/>
      </left>
      <right/>
      <top style="thin">
        <color rgb="FF00B0F0"/>
      </top>
      <bottom/>
    </border>
    <border>
      <left style="medium">
        <color rgb="FF00B0F0"/>
      </left>
      <right style="medium">
        <color rgb="FF00B0F0"/>
      </right>
      <top style="thin">
        <color rgb="FF00B0F0"/>
      </top>
      <bottom style="medium">
        <color rgb="FF00B0F0"/>
      </bottom>
    </border>
    <border>
      <left style="medium">
        <color rgb="FF00B0F0"/>
      </left>
      <right/>
      <top style="thin">
        <color rgb="FF00B0F0"/>
      </top>
      <bottom style="medium">
        <color rgb="FF00B0F0"/>
      </bottom>
    </border>
    <border>
      <left style="medium">
        <color rgb="FF00B0F0"/>
      </left>
      <right style="thin">
        <color rgb="FF00B0F0"/>
      </right>
      <top style="thin">
        <color rgb="FF00B0F0"/>
      </top>
      <bottom style="medium">
        <color rgb="FF00B0F0"/>
      </bottom>
    </border>
    <border>
      <left style="double">
        <color rgb="FF00B0F0"/>
      </left>
      <right/>
      <top/>
      <bottom style="double">
        <color rgb="FF00B0F0"/>
      </bottom>
    </border>
    <border>
      <left/>
      <right/>
      <top/>
      <bottom style="double">
        <color rgb="FF00B0F0"/>
      </bottom>
    </border>
    <border>
      <left/>
      <right style="double">
        <color rgb="FF00B0F0"/>
      </right>
      <top/>
      <bottom style="double">
        <color rgb="FF00B0F0"/>
      </bottom>
    </border>
    <border>
      <left style="thin">
        <color rgb="FF00B0F0"/>
      </left>
      <right style="double">
        <color rgb="FF00B0F0"/>
      </right>
      <top style="thin">
        <color rgb="FF00B0F0"/>
      </top>
      <bottom style="thin">
        <color rgb="FF00B0F0"/>
      </bottom>
    </border>
    <border>
      <left style="thick">
        <color rgb="FF00B0F0"/>
      </left>
      <right/>
      <top style="thick">
        <color rgb="FF00B0F0"/>
      </top>
      <bottom style="thick">
        <color rgb="FF00B0F0"/>
      </bottom>
    </border>
    <border>
      <left/>
      <right/>
      <top style="thick">
        <color rgb="FF00B0F0"/>
      </top>
      <bottom style="thick">
        <color rgb="FF00B0F0"/>
      </bottom>
    </border>
    <border>
      <left/>
      <right style="thick">
        <color rgb="FF00B0F0"/>
      </right>
      <top style="thick">
        <color rgb="FF00B0F0"/>
      </top>
      <bottom style="thick">
        <color rgb="FF00B0F0"/>
      </bottom>
    </border>
    <border>
      <left/>
      <right/>
      <top/>
      <bottom style="thin"/>
    </border>
    <border>
      <left style="thin"/>
      <right/>
      <top/>
      <bottom/>
    </border>
    <border>
      <left style="medium">
        <color rgb="FF00B0F0"/>
      </left>
      <right style="thin"/>
      <top style="thin"/>
      <bottom style="medium">
        <color rgb="FF00B0F0"/>
      </bottom>
    </border>
    <border>
      <left style="thin"/>
      <right/>
      <top/>
      <bottom style="medium">
        <color rgb="FF00B0F0"/>
      </bottom>
    </border>
    <border>
      <left/>
      <right/>
      <top style="medium">
        <color rgb="FF00B0F0"/>
      </top>
      <bottom/>
    </border>
    <border>
      <left/>
      <right style="medium">
        <color rgb="FF00B0F0"/>
      </right>
      <top style="medium">
        <color rgb="FF00B0F0"/>
      </top>
      <bottom/>
    </border>
    <border>
      <left style="thick">
        <color rgb="FFFF0000"/>
      </left>
      <right/>
      <top style="thick">
        <color rgb="FFFF0000"/>
      </top>
      <bottom/>
    </border>
    <border>
      <left/>
      <right/>
      <top style="thick">
        <color rgb="FFFF0000"/>
      </top>
      <bottom/>
    </border>
    <border>
      <left/>
      <right style="thick">
        <color rgb="FFFF0000"/>
      </right>
      <top style="thick">
        <color rgb="FFFF0000"/>
      </top>
      <bottom/>
    </border>
    <border>
      <left style="thick">
        <color rgb="FFFF0000"/>
      </left>
      <right/>
      <top/>
      <bottom/>
    </border>
    <border>
      <left/>
      <right style="thick">
        <color rgb="FFFF0000"/>
      </right>
      <top/>
      <bottom/>
    </border>
    <border>
      <left style="thick">
        <color rgb="FFFF0000"/>
      </left>
      <right style="thin"/>
      <top style="thin"/>
      <bottom style="thin"/>
    </border>
    <border>
      <left style="thin"/>
      <right style="thick">
        <color rgb="FFFF0000"/>
      </right>
      <top style="thin"/>
      <bottom style="thin"/>
    </border>
    <border>
      <left/>
      <right/>
      <top/>
      <bottom style="thick">
        <color rgb="FFFF0000"/>
      </bottom>
    </border>
    <border>
      <left/>
      <right style="thin"/>
      <top/>
      <bottom style="thick">
        <color rgb="FFFF0000"/>
      </bottom>
    </border>
    <border>
      <left style="thin"/>
      <right style="thin"/>
      <top style="thin"/>
      <bottom style="thick">
        <color rgb="FFFF0000"/>
      </bottom>
    </border>
    <border>
      <left style="thin"/>
      <right style="thick">
        <color rgb="FFFF0000"/>
      </right>
      <top style="thin"/>
      <bottom style="thick">
        <color rgb="FFFF0000"/>
      </bottom>
    </border>
    <border>
      <left style="thick">
        <color rgb="FFFF0000"/>
      </left>
      <right/>
      <top/>
      <bottom style="thin"/>
    </border>
    <border>
      <left/>
      <right style="thick">
        <color rgb="FFFF0000"/>
      </right>
      <top/>
      <bottom style="thin"/>
    </border>
    <border>
      <left/>
      <right style="medium">
        <color indexed="8"/>
      </right>
      <top/>
      <bottom style="thin"/>
    </border>
    <border>
      <left/>
      <right style="thin"/>
      <top/>
      <bottom/>
    </border>
    <border>
      <left style="thin">
        <color rgb="FF00B0F0"/>
      </left>
      <right style="thin">
        <color rgb="FF00B0F0"/>
      </right>
      <top/>
      <bottom style="thin">
        <color rgb="FF00B0F0"/>
      </bottom>
    </border>
    <border>
      <left style="medium">
        <color rgb="FF00B0F0"/>
      </left>
      <right/>
      <top style="medium">
        <color rgb="FF00B0F0"/>
      </top>
      <bottom style="medium">
        <color rgb="FF00B0F0"/>
      </bottom>
    </border>
    <border>
      <left/>
      <right style="thin"/>
      <top/>
      <bottom style="thin"/>
    </border>
    <border>
      <left style="thin"/>
      <right/>
      <top/>
      <bottom style="thin"/>
    </border>
    <border>
      <left style="thin">
        <color rgb="FF00B0F0"/>
      </left>
      <right/>
      <top style="thin"/>
      <bottom/>
    </border>
    <border>
      <left style="thin"/>
      <right style="thin"/>
      <top/>
      <bottom/>
    </border>
    <border>
      <left/>
      <right style="medium">
        <color rgb="FF00B0F0"/>
      </right>
      <top style="medium">
        <color rgb="FF00B0F0"/>
      </top>
      <bottom style="medium">
        <color rgb="FF00B0F0"/>
      </bottom>
    </border>
    <border>
      <left/>
      <right/>
      <top/>
      <bottom style="medium">
        <color rgb="FF00B0F0"/>
      </bottom>
    </border>
    <border>
      <left style="thin">
        <color rgb="FF00B0F0"/>
      </left>
      <right style="medium">
        <color rgb="FF00B0F0"/>
      </right>
      <top/>
      <bottom/>
    </border>
    <border>
      <left style="medium">
        <color rgb="FF00B0F0"/>
      </left>
      <right style="medium">
        <color rgb="FF00B0F0"/>
      </right>
      <top style="thin">
        <color rgb="FF00B0F0"/>
      </top>
      <bottom/>
    </border>
    <border>
      <left style="thin">
        <color rgb="FF00B0F0"/>
      </left>
      <right style="thin">
        <color rgb="FF00B0F0"/>
      </right>
      <top style="medium">
        <color rgb="FF00B0F0"/>
      </top>
      <bottom style="thin">
        <color rgb="FF00B0F0"/>
      </bottom>
    </border>
    <border>
      <left style="medium">
        <color rgb="FF00B0F0"/>
      </left>
      <right/>
      <top/>
      <bottom style="medium">
        <color rgb="FF00B0F0"/>
      </bottom>
    </border>
    <border>
      <left style="thin">
        <color rgb="FF00B0F0"/>
      </left>
      <right style="thin">
        <color rgb="FF00B0F0"/>
      </right>
      <top style="thin">
        <color rgb="FF00B0F0"/>
      </top>
      <bottom style="medium">
        <color rgb="FF00B0F0"/>
      </bottom>
    </border>
    <border>
      <left/>
      <right style="medium">
        <color rgb="FF00B0F0"/>
      </right>
      <top style="medium">
        <color rgb="FF00B0F0"/>
      </top>
      <bottom style="thin">
        <color rgb="FF00B0F0"/>
      </bottom>
    </border>
    <border>
      <left/>
      <right style="medium">
        <color rgb="FF00B0F0"/>
      </right>
      <top style="thin">
        <color rgb="FF00B0F0"/>
      </top>
      <bottom style="thin">
        <color rgb="FF00B0F0"/>
      </bottom>
    </border>
    <border>
      <left/>
      <right style="medium">
        <color rgb="FF00B0F0"/>
      </right>
      <top style="thin">
        <color rgb="FF00B0F0"/>
      </top>
      <bottom style="medium">
        <color rgb="FF00B0F0"/>
      </bottom>
    </border>
    <border>
      <left style="medium">
        <color rgb="FF00B0F0"/>
      </left>
      <right style="medium">
        <color rgb="FF00B0F0"/>
      </right>
      <top style="medium">
        <color rgb="FF00B0F0"/>
      </top>
      <bottom style="thin">
        <color rgb="FF00B0F0"/>
      </bottom>
    </border>
    <border>
      <left style="medium">
        <color rgb="FF00B0F0"/>
      </left>
      <right style="thin">
        <color rgb="FF00B0F0"/>
      </right>
      <top/>
      <bottom/>
    </border>
    <border>
      <left style="medium">
        <color rgb="FF00B0F0"/>
      </left>
      <right style="thin">
        <color rgb="FF00B0F0"/>
      </right>
      <top/>
      <bottom style="medium">
        <color rgb="FF00B0F0"/>
      </bottom>
    </border>
    <border>
      <left style="thin">
        <color rgb="FF00B0F0"/>
      </left>
      <right style="medium">
        <color rgb="FF00B0F0"/>
      </right>
      <top/>
      <bottom style="medium">
        <color rgb="FF00B0F0"/>
      </bottom>
    </border>
    <border>
      <left/>
      <right/>
      <top style="thin">
        <color rgb="FF00B0F0"/>
      </top>
      <bottom style="medium">
        <color rgb="FF00B0F0"/>
      </bottom>
    </border>
    <border>
      <left style="medium">
        <color rgb="FF00B0F0"/>
      </left>
      <right style="thin">
        <color rgb="FF00B0F0"/>
      </right>
      <top style="medium">
        <color rgb="FF00B0F0"/>
      </top>
      <bottom/>
    </border>
    <border>
      <left style="thin">
        <color rgb="FF00B0F0"/>
      </left>
      <right style="medium">
        <color rgb="FF00B0F0"/>
      </right>
      <top style="medium">
        <color rgb="FF00B0F0"/>
      </top>
      <bottom/>
    </border>
    <border>
      <left/>
      <right style="medium">
        <color rgb="FF00B0F0"/>
      </right>
      <top/>
      <bottom style="medium">
        <color rgb="FF00B0F0"/>
      </bottom>
    </border>
    <border>
      <left/>
      <right style="medium">
        <color rgb="FF00B0F0"/>
      </right>
      <top/>
      <bottom/>
    </border>
    <border>
      <left style="double">
        <color rgb="FF00B0F0"/>
      </left>
      <right/>
      <top style="thin">
        <color rgb="FF00B0F0"/>
      </top>
      <bottom style="thin">
        <color rgb="FF00B0F0"/>
      </bottom>
    </border>
    <border>
      <left style="double">
        <color rgb="FF00B0F0"/>
      </left>
      <right/>
      <top style="thin">
        <color rgb="FF00B0F0"/>
      </top>
      <bottom/>
    </border>
    <border>
      <left style="double">
        <color rgb="FF00B0F0"/>
      </left>
      <right/>
      <top style="thin">
        <color rgb="FF00B0F0"/>
      </top>
      <bottom style="double">
        <color rgb="FF00B0F0"/>
      </bottom>
    </border>
    <border>
      <left/>
      <right/>
      <top style="thin">
        <color rgb="FF00B0F0"/>
      </top>
      <bottom style="double">
        <color rgb="FF00B0F0"/>
      </bottom>
    </border>
    <border>
      <left/>
      <right style="double">
        <color rgb="FF00B0F0"/>
      </right>
      <top style="thin">
        <color rgb="FF00B0F0"/>
      </top>
      <bottom style="double">
        <color rgb="FF00B0F0"/>
      </bottom>
    </border>
    <border>
      <left/>
      <right style="thin">
        <color rgb="FF00B0F0"/>
      </right>
      <top style="medium">
        <color rgb="FF00B0F0"/>
      </top>
      <bottom style="medium">
        <color rgb="FF00B0F0"/>
      </bottom>
    </border>
    <border>
      <left style="double">
        <color rgb="FF00B0F0"/>
      </left>
      <right/>
      <top style="double">
        <color rgb="FF00B0F0"/>
      </top>
      <bottom style="double">
        <color rgb="FF00B0F0"/>
      </bottom>
    </border>
    <border>
      <left/>
      <right/>
      <top style="double">
        <color rgb="FF00B0F0"/>
      </top>
      <bottom style="double">
        <color rgb="FF00B0F0"/>
      </bottom>
    </border>
    <border>
      <left/>
      <right style="double">
        <color rgb="FF00B0F0"/>
      </right>
      <top style="double">
        <color rgb="FF00B0F0"/>
      </top>
      <bottom style="double">
        <color rgb="FF00B0F0"/>
      </bottom>
    </border>
    <border>
      <left style="thin">
        <color rgb="FF00B0F0"/>
      </left>
      <right style="thin">
        <color rgb="FF00B0F0"/>
      </right>
      <top style="medium">
        <color rgb="FF00B0F0"/>
      </top>
      <bottom/>
    </border>
    <border>
      <left style="medium">
        <color rgb="FF00B0F0"/>
      </left>
      <right style="thin">
        <color rgb="FF00B0F0"/>
      </right>
      <top/>
      <bottom style="thin">
        <color rgb="FF00B0F0"/>
      </bottom>
    </border>
    <border>
      <left/>
      <right style="medium">
        <color rgb="FF00B0F0"/>
      </right>
      <top style="thin">
        <color rgb="FF00B0F0"/>
      </top>
      <bottom/>
    </border>
    <border>
      <left/>
      <right/>
      <top style="medium">
        <color rgb="FF00B0F0"/>
      </top>
      <bottom style="thin">
        <color rgb="FF00B0F0"/>
      </bottom>
    </border>
    <border>
      <left style="thick">
        <color rgb="FFFF0000"/>
      </left>
      <right/>
      <top/>
      <bottom style="thick">
        <color rgb="FFFF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717">
    <xf numFmtId="0" fontId="0" fillId="0" borderId="0" xfId="0" applyAlignment="1">
      <alignment/>
    </xf>
    <xf numFmtId="0" fontId="0" fillId="0" borderId="0" xfId="0" applyAlignment="1">
      <alignment wrapText="1"/>
    </xf>
    <xf numFmtId="0" fontId="3" fillId="0" borderId="0" xfId="0" applyFont="1" applyAlignment="1">
      <alignment/>
    </xf>
    <xf numFmtId="0" fontId="4" fillId="0" borderId="0" xfId="0" applyFont="1" applyAlignment="1">
      <alignment/>
    </xf>
    <xf numFmtId="0" fontId="4" fillId="0" borderId="0" xfId="0" applyFont="1" applyAlignment="1">
      <alignment wrapText="1"/>
    </xf>
    <xf numFmtId="0" fontId="0" fillId="0" borderId="0" xfId="0" applyAlignment="1">
      <alignment horizontal="center"/>
    </xf>
    <xf numFmtId="0" fontId="9" fillId="0" borderId="0" xfId="0" applyFont="1" applyAlignment="1">
      <alignment/>
    </xf>
    <xf numFmtId="0" fontId="0" fillId="0" borderId="10" xfId="0" applyBorder="1" applyAlignment="1">
      <alignment horizontal="center"/>
    </xf>
    <xf numFmtId="0" fontId="0" fillId="0" borderId="10" xfId="0" applyBorder="1" applyAlignment="1">
      <alignment/>
    </xf>
    <xf numFmtId="164" fontId="0" fillId="0" borderId="0" xfId="0" applyNumberFormat="1" applyAlignment="1">
      <alignment/>
    </xf>
    <xf numFmtId="0" fontId="3" fillId="0" borderId="0" xfId="0" applyFont="1" applyAlignment="1">
      <alignment horizontal="left"/>
    </xf>
    <xf numFmtId="0" fontId="0" fillId="0" borderId="0" xfId="0" applyAlignment="1">
      <alignment horizontal="left"/>
    </xf>
    <xf numFmtId="164" fontId="0" fillId="0" borderId="10" xfId="0" applyNumberFormat="1" applyBorder="1" applyAlignment="1">
      <alignment/>
    </xf>
    <xf numFmtId="0" fontId="0" fillId="0" borderId="10" xfId="0" applyBorder="1" applyAlignment="1">
      <alignment horizontal="left"/>
    </xf>
    <xf numFmtId="0" fontId="0" fillId="0" borderId="11" xfId="0" applyBorder="1" applyAlignment="1">
      <alignment/>
    </xf>
    <xf numFmtId="0" fontId="0" fillId="0" borderId="11" xfId="0" applyBorder="1" applyAlignment="1">
      <alignment horizontal="center"/>
    </xf>
    <xf numFmtId="0" fontId="0" fillId="0" borderId="12" xfId="0" applyBorder="1" applyAlignment="1">
      <alignment/>
    </xf>
    <xf numFmtId="0" fontId="0" fillId="0" borderId="12" xfId="0" applyBorder="1" applyAlignment="1">
      <alignment horizontal="center"/>
    </xf>
    <xf numFmtId="0" fontId="11" fillId="0" borderId="11" xfId="0" applyFont="1" applyBorder="1" applyAlignment="1">
      <alignment horizontal="center"/>
    </xf>
    <xf numFmtId="11" fontId="0" fillId="0" borderId="10" xfId="0" applyNumberFormat="1" applyBorder="1" applyAlignment="1">
      <alignment/>
    </xf>
    <xf numFmtId="165" fontId="0" fillId="0" borderId="10" xfId="0" applyNumberFormat="1" applyBorder="1" applyAlignment="1">
      <alignment/>
    </xf>
    <xf numFmtId="0" fontId="6" fillId="0" borderId="0" xfId="0" applyFont="1" applyAlignment="1">
      <alignment/>
    </xf>
    <xf numFmtId="2" fontId="0" fillId="0" borderId="0" xfId="0" applyNumberFormat="1" applyAlignment="1">
      <alignment/>
    </xf>
    <xf numFmtId="0" fontId="12" fillId="0" borderId="12" xfId="0" applyFont="1" applyBorder="1" applyAlignment="1">
      <alignment horizontal="center"/>
    </xf>
    <xf numFmtId="0" fontId="0" fillId="0" borderId="0" xfId="0" applyFill="1" applyBorder="1" applyAlignment="1">
      <alignment horizontal="center"/>
    </xf>
    <xf numFmtId="0" fontId="0" fillId="0" borderId="0" xfId="0" applyBorder="1" applyAlignment="1">
      <alignment horizontal="left"/>
    </xf>
    <xf numFmtId="0" fontId="0" fillId="0" borderId="0" xfId="0" applyBorder="1" applyAlignment="1">
      <alignment/>
    </xf>
    <xf numFmtId="11" fontId="0" fillId="0" borderId="0" xfId="0" applyNumberFormat="1" applyBorder="1" applyAlignment="1">
      <alignment/>
    </xf>
    <xf numFmtId="2" fontId="0" fillId="0" borderId="10" xfId="0" applyNumberFormat="1" applyBorder="1" applyAlignment="1">
      <alignment/>
    </xf>
    <xf numFmtId="0" fontId="0" fillId="0" borderId="0" xfId="0" applyFill="1" applyBorder="1" applyAlignment="1">
      <alignment horizontal="left"/>
    </xf>
    <xf numFmtId="2" fontId="0" fillId="0" borderId="0" xfId="0" applyNumberFormat="1" applyFill="1" applyAlignment="1">
      <alignment/>
    </xf>
    <xf numFmtId="0" fontId="3" fillId="0" borderId="0" xfId="0" applyFont="1" applyFill="1" applyBorder="1" applyAlignment="1">
      <alignment horizontal="left"/>
    </xf>
    <xf numFmtId="0" fontId="9" fillId="0" borderId="0" xfId="0" applyFont="1" applyFill="1" applyBorder="1" applyAlignment="1">
      <alignment horizontal="left"/>
    </xf>
    <xf numFmtId="0" fontId="0" fillId="0" borderId="10" xfId="0" applyBorder="1" applyAlignment="1">
      <alignment horizontal="right"/>
    </xf>
    <xf numFmtId="0" fontId="15" fillId="0" borderId="13" xfId="0" applyFont="1" applyBorder="1" applyAlignment="1">
      <alignment/>
    </xf>
    <xf numFmtId="0" fontId="16" fillId="0" borderId="0" xfId="0" applyFont="1" applyAlignment="1">
      <alignment/>
    </xf>
    <xf numFmtId="0" fontId="0" fillId="0" borderId="0" xfId="0" applyAlignment="1">
      <alignment horizontal="right"/>
    </xf>
    <xf numFmtId="0" fontId="0" fillId="0" borderId="0" xfId="0" applyFont="1" applyAlignment="1">
      <alignment/>
    </xf>
    <xf numFmtId="166" fontId="0" fillId="0" borderId="0" xfId="0" applyNumberFormat="1" applyFont="1" applyAlignment="1">
      <alignment/>
    </xf>
    <xf numFmtId="0" fontId="12" fillId="0" borderId="10" xfId="0" applyFont="1" applyBorder="1" applyAlignment="1">
      <alignment wrapText="1"/>
    </xf>
    <xf numFmtId="0" fontId="17" fillId="0" borderId="0" xfId="0" applyFont="1" applyAlignment="1">
      <alignment/>
    </xf>
    <xf numFmtId="0" fontId="18" fillId="0" borderId="0" xfId="0" applyFont="1" applyAlignment="1">
      <alignment wrapText="1"/>
    </xf>
    <xf numFmtId="0" fontId="3" fillId="0" borderId="10" xfId="0" applyFont="1" applyBorder="1" applyAlignment="1">
      <alignment/>
    </xf>
    <xf numFmtId="0" fontId="3" fillId="0" borderId="10" xfId="0" applyFont="1" applyBorder="1" applyAlignment="1">
      <alignment horizontal="centerContinuous"/>
    </xf>
    <xf numFmtId="167" fontId="0" fillId="0" borderId="0" xfId="0" applyNumberFormat="1" applyAlignment="1">
      <alignment/>
    </xf>
    <xf numFmtId="167" fontId="3" fillId="0" borderId="10" xfId="0" applyNumberFormat="1" applyFont="1" applyBorder="1" applyAlignment="1">
      <alignment horizontal="centerContinuous"/>
    </xf>
    <xf numFmtId="0" fontId="0" fillId="0" borderId="0" xfId="0" applyFont="1" applyAlignment="1">
      <alignment/>
    </xf>
    <xf numFmtId="0" fontId="20" fillId="0" borderId="10" xfId="0" applyFont="1" applyBorder="1" applyAlignment="1">
      <alignment horizontal="center"/>
    </xf>
    <xf numFmtId="0" fontId="20" fillId="0" borderId="10" xfId="0" applyFont="1" applyBorder="1" applyAlignment="1">
      <alignment horizontal="center" wrapText="1"/>
    </xf>
    <xf numFmtId="167" fontId="0" fillId="0" borderId="10" xfId="0" applyNumberFormat="1" applyBorder="1" applyAlignment="1">
      <alignment horizontal="center"/>
    </xf>
    <xf numFmtId="167" fontId="0" fillId="0" borderId="10" xfId="0" applyNumberFormat="1" applyBorder="1" applyAlignment="1">
      <alignment/>
    </xf>
    <xf numFmtId="0" fontId="0" fillId="33" borderId="10" xfId="0" applyFill="1" applyBorder="1" applyAlignment="1">
      <alignment/>
    </xf>
    <xf numFmtId="0" fontId="3" fillId="0" borderId="10" xfId="0" applyFont="1" applyBorder="1" applyAlignment="1">
      <alignment horizontal="center"/>
    </xf>
    <xf numFmtId="0" fontId="3" fillId="0" borderId="10" xfId="0" applyFont="1" applyBorder="1" applyAlignment="1">
      <alignment horizontal="center" wrapText="1"/>
    </xf>
    <xf numFmtId="0" fontId="22" fillId="0" borderId="0" xfId="0" applyFont="1" applyAlignment="1">
      <alignment/>
    </xf>
    <xf numFmtId="2" fontId="0" fillId="0" borderId="0" xfId="0" applyNumberFormat="1" applyBorder="1" applyAlignment="1">
      <alignment/>
    </xf>
    <xf numFmtId="0" fontId="9" fillId="0" borderId="0" xfId="0" applyFont="1" applyFill="1" applyBorder="1" applyAlignment="1">
      <alignment/>
    </xf>
    <xf numFmtId="0" fontId="6" fillId="0" borderId="0" xfId="0" applyFont="1" applyBorder="1" applyAlignment="1">
      <alignment/>
    </xf>
    <xf numFmtId="0" fontId="0" fillId="0" borderId="0" xfId="0" applyBorder="1" applyAlignment="1" quotePrefix="1">
      <alignment/>
    </xf>
    <xf numFmtId="167" fontId="0" fillId="0" borderId="0" xfId="0" applyNumberFormat="1" applyBorder="1" applyAlignment="1">
      <alignment/>
    </xf>
    <xf numFmtId="0" fontId="3" fillId="0" borderId="0" xfId="0" applyFont="1" applyBorder="1" applyAlignment="1">
      <alignment/>
    </xf>
    <xf numFmtId="0" fontId="20" fillId="0" borderId="0" xfId="0" applyFont="1" applyBorder="1" applyAlignment="1">
      <alignment horizontal="center" wrapText="1"/>
    </xf>
    <xf numFmtId="0" fontId="20" fillId="0" borderId="0" xfId="0" applyFont="1" applyBorder="1" applyAlignment="1">
      <alignment horizontal="center"/>
    </xf>
    <xf numFmtId="0" fontId="21" fillId="0" borderId="0" xfId="0" applyFont="1" applyBorder="1" applyAlignment="1">
      <alignment horizontal="center"/>
    </xf>
    <xf numFmtId="167" fontId="21" fillId="0" borderId="0" xfId="0" applyNumberFormat="1" applyFont="1" applyBorder="1" applyAlignment="1">
      <alignment horizontal="center"/>
    </xf>
    <xf numFmtId="0" fontId="0" fillId="0" borderId="14" xfId="0" applyBorder="1" applyAlignment="1">
      <alignment/>
    </xf>
    <xf numFmtId="0" fontId="3" fillId="0" borderId="15" xfId="0" applyFont="1" applyBorder="1" applyAlignment="1">
      <alignment/>
    </xf>
    <xf numFmtId="0" fontId="20" fillId="0" borderId="15" xfId="0" applyFont="1" applyBorder="1" applyAlignment="1">
      <alignment horizontal="center" wrapText="1"/>
    </xf>
    <xf numFmtId="0" fontId="0" fillId="0" borderId="15" xfId="0" applyBorder="1" applyAlignment="1">
      <alignment horizontal="center"/>
    </xf>
    <xf numFmtId="0" fontId="0" fillId="0" borderId="15" xfId="0" applyBorder="1" applyAlignment="1">
      <alignment/>
    </xf>
    <xf numFmtId="0" fontId="0" fillId="0" borderId="16" xfId="0" applyBorder="1" applyAlignment="1">
      <alignment/>
    </xf>
    <xf numFmtId="0" fontId="25" fillId="0" borderId="17" xfId="0" applyFont="1" applyBorder="1" applyAlignment="1">
      <alignment/>
    </xf>
    <xf numFmtId="4" fontId="22" fillId="0" borderId="0" xfId="0" applyNumberFormat="1" applyFont="1" applyAlignment="1">
      <alignment/>
    </xf>
    <xf numFmtId="4" fontId="0" fillId="0" borderId="0" xfId="0" applyNumberFormat="1" applyAlignment="1">
      <alignment/>
    </xf>
    <xf numFmtId="0" fontId="0" fillId="0" borderId="0" xfId="0" applyFont="1" applyBorder="1" applyAlignment="1">
      <alignment horizontal="center"/>
    </xf>
    <xf numFmtId="0" fontId="0" fillId="0" borderId="18" xfId="0" applyFont="1" applyBorder="1" applyAlignment="1">
      <alignment horizontal="center"/>
    </xf>
    <xf numFmtId="0" fontId="0" fillId="0" borderId="19" xfId="0" applyFont="1" applyBorder="1" applyAlignment="1">
      <alignment horizontal="center"/>
    </xf>
    <xf numFmtId="0" fontId="0" fillId="0" borderId="20" xfId="0" applyFont="1" applyBorder="1" applyAlignment="1">
      <alignment/>
    </xf>
    <xf numFmtId="0" fontId="0" fillId="0" borderId="20" xfId="0" applyBorder="1" applyAlignment="1">
      <alignment/>
    </xf>
    <xf numFmtId="0" fontId="0" fillId="0" borderId="18" xfId="0" applyBorder="1" applyAlignment="1">
      <alignment/>
    </xf>
    <xf numFmtId="0" fontId="0" fillId="0" borderId="19" xfId="0" applyBorder="1" applyAlignment="1">
      <alignment/>
    </xf>
    <xf numFmtId="0" fontId="0" fillId="0" borderId="21" xfId="0" applyBorder="1" applyAlignment="1">
      <alignment/>
    </xf>
    <xf numFmtId="0" fontId="0" fillId="0" borderId="19" xfId="0" applyFont="1" applyFill="1" applyBorder="1" applyAlignment="1">
      <alignment horizontal="center"/>
    </xf>
    <xf numFmtId="0" fontId="0" fillId="0" borderId="22" xfId="0" applyFont="1" applyBorder="1" applyAlignment="1">
      <alignment/>
    </xf>
    <xf numFmtId="0" fontId="0" fillId="0" borderId="23" xfId="0" applyBorder="1" applyAlignment="1">
      <alignment/>
    </xf>
    <xf numFmtId="0" fontId="0" fillId="0" borderId="24" xfId="0" applyFont="1" applyBorder="1" applyAlignment="1">
      <alignment horizontal="center"/>
    </xf>
    <xf numFmtId="0" fontId="0" fillId="0" borderId="23" xfId="0" applyBorder="1" applyAlignment="1">
      <alignment horizontal="center"/>
    </xf>
    <xf numFmtId="0" fontId="0" fillId="0" borderId="19" xfId="0" applyBorder="1" applyAlignment="1">
      <alignment horizontal="center"/>
    </xf>
    <xf numFmtId="0" fontId="0" fillId="0" borderId="23" xfId="0" applyFont="1" applyBorder="1" applyAlignment="1">
      <alignment horizontal="center"/>
    </xf>
    <xf numFmtId="0" fontId="0" fillId="0" borderId="25" xfId="0" applyFont="1" applyBorder="1" applyAlignment="1">
      <alignment horizontal="center"/>
    </xf>
    <xf numFmtId="0" fontId="23" fillId="0" borderId="22" xfId="0" applyFont="1" applyFill="1" applyBorder="1" applyAlignment="1">
      <alignment horizontal="center"/>
    </xf>
    <xf numFmtId="0" fontId="0" fillId="0" borderId="0" xfId="0" applyBorder="1" applyAlignment="1">
      <alignment horizontal="center"/>
    </xf>
    <xf numFmtId="0" fontId="23" fillId="0" borderId="22" xfId="0" applyFont="1" applyBorder="1" applyAlignment="1">
      <alignment/>
    </xf>
    <xf numFmtId="0" fontId="0" fillId="0" borderId="26" xfId="0" applyBorder="1" applyAlignment="1">
      <alignment/>
    </xf>
    <xf numFmtId="0" fontId="0" fillId="0" borderId="27" xfId="0" applyFont="1" applyBorder="1" applyAlignment="1">
      <alignment/>
    </xf>
    <xf numFmtId="0" fontId="0" fillId="0" borderId="28" xfId="0" applyFont="1" applyBorder="1" applyAlignment="1">
      <alignment/>
    </xf>
    <xf numFmtId="0" fontId="0" fillId="19" borderId="10" xfId="0" applyFill="1" applyBorder="1" applyAlignment="1">
      <alignment/>
    </xf>
    <xf numFmtId="164" fontId="0" fillId="19" borderId="10" xfId="0" applyNumberFormat="1" applyFill="1" applyBorder="1" applyAlignment="1">
      <alignment/>
    </xf>
    <xf numFmtId="167" fontId="0" fillId="19" borderId="10" xfId="0" applyNumberFormat="1" applyFill="1" applyBorder="1" applyAlignment="1">
      <alignment/>
    </xf>
    <xf numFmtId="0" fontId="10" fillId="19" borderId="10" xfId="0" applyFont="1" applyFill="1" applyBorder="1" applyAlignment="1">
      <alignment/>
    </xf>
    <xf numFmtId="11" fontId="0" fillId="19" borderId="10" xfId="0" applyNumberFormat="1" applyFill="1" applyBorder="1" applyAlignment="1">
      <alignment/>
    </xf>
    <xf numFmtId="0" fontId="0" fillId="19" borderId="10" xfId="0" applyNumberFormat="1" applyFill="1" applyBorder="1" applyAlignment="1">
      <alignment/>
    </xf>
    <xf numFmtId="0" fontId="0" fillId="19" borderId="0" xfId="0" applyFont="1" applyFill="1" applyBorder="1" applyAlignment="1">
      <alignment/>
    </xf>
    <xf numFmtId="167" fontId="3" fillId="0" borderId="29" xfId="0" applyNumberFormat="1" applyFont="1" applyBorder="1" applyAlignment="1">
      <alignment horizontal="centerContinuous"/>
    </xf>
    <xf numFmtId="0" fontId="3" fillId="0" borderId="30" xfId="0" applyFont="1" applyBorder="1" applyAlignment="1">
      <alignment/>
    </xf>
    <xf numFmtId="167" fontId="3" fillId="0" borderId="31" xfId="0" applyNumberFormat="1" applyFont="1" applyBorder="1" applyAlignment="1">
      <alignment horizontal="centerContinuous"/>
    </xf>
    <xf numFmtId="0" fontId="3" fillId="0" borderId="32" xfId="0" applyFont="1" applyBorder="1" applyAlignment="1">
      <alignment/>
    </xf>
    <xf numFmtId="0" fontId="3" fillId="0" borderId="12" xfId="0" applyFont="1" applyBorder="1" applyAlignment="1">
      <alignment horizontal="center"/>
    </xf>
    <xf numFmtId="0" fontId="3" fillId="0" borderId="33" xfId="0" applyFont="1" applyBorder="1" applyAlignment="1">
      <alignment horizontal="centerContinuous"/>
    </xf>
    <xf numFmtId="0" fontId="3" fillId="0" borderId="34" xfId="0" applyFont="1" applyBorder="1" applyAlignment="1">
      <alignment horizontal="centerContinuous"/>
    </xf>
    <xf numFmtId="1" fontId="0" fillId="0" borderId="0" xfId="0" applyNumberFormat="1" applyAlignment="1">
      <alignment horizontal="center"/>
    </xf>
    <xf numFmtId="10" fontId="0" fillId="33" borderId="0" xfId="0" applyNumberFormat="1" applyFill="1" applyBorder="1" applyAlignment="1">
      <alignment horizontal="center"/>
    </xf>
    <xf numFmtId="0" fontId="0" fillId="33" borderId="0" xfId="0" applyFill="1" applyBorder="1" applyAlignment="1">
      <alignment horizontal="center"/>
    </xf>
    <xf numFmtId="164" fontId="92" fillId="19" borderId="10" xfId="0" applyNumberFormat="1" applyFont="1" applyFill="1" applyBorder="1" applyAlignment="1">
      <alignment/>
    </xf>
    <xf numFmtId="0" fontId="0" fillId="0" borderId="0" xfId="0" applyAlignment="1">
      <alignment wrapText="1"/>
    </xf>
    <xf numFmtId="0" fontId="14" fillId="0" borderId="35" xfId="0" applyFont="1" applyBorder="1" applyAlignment="1">
      <alignment horizontal="right"/>
    </xf>
    <xf numFmtId="0" fontId="10" fillId="0" borderId="0" xfId="0" applyFont="1" applyAlignment="1">
      <alignment wrapText="1"/>
    </xf>
    <xf numFmtId="0" fontId="0" fillId="0" borderId="0" xfId="0" applyBorder="1" applyAlignment="1">
      <alignment/>
    </xf>
    <xf numFmtId="0" fontId="0" fillId="0" borderId="36" xfId="0" applyFont="1" applyBorder="1" applyAlignment="1">
      <alignment horizontal="center"/>
    </xf>
    <xf numFmtId="0" fontId="0" fillId="0" borderId="27" xfId="0" applyFont="1" applyBorder="1" applyAlignment="1">
      <alignment/>
    </xf>
    <xf numFmtId="0" fontId="23" fillId="0" borderId="36" xfId="0" applyFont="1" applyBorder="1" applyAlignment="1">
      <alignment/>
    </xf>
    <xf numFmtId="0" fontId="23" fillId="0" borderId="37" xfId="0" applyFont="1" applyBorder="1" applyAlignment="1">
      <alignment/>
    </xf>
    <xf numFmtId="0" fontId="0" fillId="0" borderId="24" xfId="0" applyFont="1" applyFill="1" applyBorder="1" applyAlignment="1">
      <alignment horizontal="center"/>
    </xf>
    <xf numFmtId="2" fontId="0" fillId="0" borderId="0" xfId="0" applyNumberFormat="1" applyBorder="1" applyAlignment="1">
      <alignment horizontal="center"/>
    </xf>
    <xf numFmtId="0" fontId="0" fillId="0" borderId="21" xfId="0" applyBorder="1" applyAlignment="1">
      <alignment horizontal="center"/>
    </xf>
    <xf numFmtId="2" fontId="0" fillId="0" borderId="21" xfId="0" applyNumberFormat="1" applyBorder="1" applyAlignment="1">
      <alignment horizontal="center"/>
    </xf>
    <xf numFmtId="0" fontId="0" fillId="0" borderId="0" xfId="0" applyFill="1" applyBorder="1" applyAlignment="1">
      <alignment horizontal="right"/>
    </xf>
    <xf numFmtId="0" fontId="93" fillId="0" borderId="0" xfId="0" applyFont="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Font="1" applyFill="1" applyBorder="1" applyAlignment="1">
      <alignment/>
    </xf>
    <xf numFmtId="0" fontId="94" fillId="0" borderId="0" xfId="0" applyFont="1" applyFill="1" applyBorder="1" applyAlignment="1">
      <alignment/>
    </xf>
    <xf numFmtId="0" fontId="0" fillId="0" borderId="0" xfId="0" applyFont="1" applyFill="1" applyBorder="1" applyAlignment="1">
      <alignment/>
    </xf>
    <xf numFmtId="0" fontId="0" fillId="0" borderId="42" xfId="0" applyBorder="1" applyAlignment="1">
      <alignment/>
    </xf>
    <xf numFmtId="0" fontId="0" fillId="0" borderId="41" xfId="0" applyBorder="1" applyAlignment="1">
      <alignment/>
    </xf>
    <xf numFmtId="0" fontId="0" fillId="0" borderId="43" xfId="0" applyFont="1" applyFill="1" applyBorder="1" applyAlignment="1">
      <alignment/>
    </xf>
    <xf numFmtId="0" fontId="0" fillId="0" borderId="44" xfId="0" applyBorder="1" applyAlignment="1">
      <alignment horizontal="center"/>
    </xf>
    <xf numFmtId="0" fontId="0" fillId="0" borderId="44" xfId="0" applyBorder="1" applyAlignment="1">
      <alignment/>
    </xf>
    <xf numFmtId="0" fontId="0" fillId="0" borderId="45" xfId="0" applyFont="1" applyFill="1" applyBorder="1" applyAlignment="1">
      <alignment horizontal="center"/>
    </xf>
    <xf numFmtId="0" fontId="0" fillId="0" borderId="43" xfId="0" applyFont="1" applyFill="1" applyBorder="1" applyAlignment="1">
      <alignment horizontal="center"/>
    </xf>
    <xf numFmtId="0" fontId="0" fillId="0" borderId="46" xfId="0" applyFont="1" applyFill="1" applyBorder="1" applyAlignment="1">
      <alignment horizontal="center"/>
    </xf>
    <xf numFmtId="0" fontId="0" fillId="0" borderId="47" xfId="0" applyFont="1" applyFill="1" applyBorder="1" applyAlignment="1">
      <alignment horizontal="center"/>
    </xf>
    <xf numFmtId="0" fontId="27" fillId="0" borderId="42" xfId="0" applyFont="1" applyFill="1" applyBorder="1" applyAlignment="1">
      <alignment horizontal="center"/>
    </xf>
    <xf numFmtId="0" fontId="0" fillId="0" borderId="48" xfId="0" applyFont="1" applyFill="1" applyBorder="1" applyAlignment="1">
      <alignment/>
    </xf>
    <xf numFmtId="0" fontId="0" fillId="0" borderId="44" xfId="0" applyFont="1" applyFill="1" applyBorder="1" applyAlignment="1">
      <alignment horizontal="center"/>
    </xf>
    <xf numFmtId="0" fontId="0" fillId="0" borderId="49" xfId="0" applyFont="1" applyFill="1" applyBorder="1" applyAlignment="1">
      <alignment horizontal="center"/>
    </xf>
    <xf numFmtId="0" fontId="0" fillId="0" borderId="50" xfId="0" applyFont="1" applyFill="1" applyBorder="1" applyAlignment="1">
      <alignment horizontal="center"/>
    </xf>
    <xf numFmtId="0" fontId="27" fillId="0" borderId="42" xfId="0" applyFont="1" applyFill="1" applyBorder="1" applyAlignment="1" applyProtection="1">
      <alignment horizontal="center"/>
      <protection/>
    </xf>
    <xf numFmtId="0" fontId="0" fillId="0" borderId="51" xfId="0" applyBorder="1" applyAlignment="1">
      <alignment horizontal="center"/>
    </xf>
    <xf numFmtId="0" fontId="0" fillId="0" borderId="48" xfId="0" applyBorder="1" applyAlignment="1">
      <alignment/>
    </xf>
    <xf numFmtId="0" fontId="0" fillId="0" borderId="52" xfId="0" applyFill="1" applyBorder="1" applyAlignment="1">
      <alignment/>
    </xf>
    <xf numFmtId="0" fontId="0" fillId="0" borderId="53" xfId="0" applyFill="1" applyBorder="1" applyAlignment="1">
      <alignment/>
    </xf>
    <xf numFmtId="0" fontId="95" fillId="0" borderId="52" xfId="52" applyFont="1" applyBorder="1" applyAlignment="1">
      <alignment/>
    </xf>
    <xf numFmtId="0" fontId="0" fillId="0" borderId="53" xfId="0" applyBorder="1" applyAlignment="1">
      <alignment/>
    </xf>
    <xf numFmtId="0" fontId="0" fillId="0" borderId="42" xfId="0" applyFont="1" applyFill="1" applyBorder="1" applyAlignment="1">
      <alignment/>
    </xf>
    <xf numFmtId="0" fontId="0" fillId="0" borderId="54" xfId="0" applyBorder="1" applyAlignment="1">
      <alignment horizontal="center"/>
    </xf>
    <xf numFmtId="168" fontId="27" fillId="0" borderId="55" xfId="0" applyNumberFormat="1" applyFont="1" applyFill="1" applyBorder="1" applyAlignment="1" applyProtection="1">
      <alignment horizontal="center"/>
      <protection/>
    </xf>
    <xf numFmtId="0" fontId="0" fillId="0" borderId="56" xfId="0" applyFill="1" applyBorder="1" applyAlignment="1">
      <alignment horizontal="center"/>
    </xf>
    <xf numFmtId="169" fontId="27" fillId="0" borderId="57" xfId="0" applyNumberFormat="1" applyFont="1" applyFill="1" applyBorder="1" applyAlignment="1" applyProtection="1">
      <alignment horizontal="center"/>
      <protection/>
    </xf>
    <xf numFmtId="4" fontId="0" fillId="0" borderId="28" xfId="0" applyNumberFormat="1" applyBorder="1" applyAlignment="1">
      <alignment horizontal="center" vertical="center" wrapText="1"/>
    </xf>
    <xf numFmtId="168" fontId="27" fillId="0" borderId="57" xfId="0" applyNumberFormat="1" applyFont="1" applyFill="1" applyBorder="1" applyAlignment="1" applyProtection="1">
      <alignment horizontal="center"/>
      <protection/>
    </xf>
    <xf numFmtId="168" fontId="27" fillId="0" borderId="28" xfId="0" applyNumberFormat="1" applyFont="1" applyFill="1" applyBorder="1" applyAlignment="1" applyProtection="1">
      <alignment horizontal="center"/>
      <protection/>
    </xf>
    <xf numFmtId="0" fontId="0" fillId="0" borderId="57" xfId="0" applyFont="1" applyFill="1" applyBorder="1" applyAlignment="1">
      <alignment horizontal="center"/>
    </xf>
    <xf numFmtId="0" fontId="0" fillId="0" borderId="58" xfId="0" applyBorder="1" applyAlignment="1">
      <alignment horizontal="center"/>
    </xf>
    <xf numFmtId="168" fontId="27" fillId="0" borderId="59" xfId="0" applyNumberFormat="1" applyFont="1" applyFill="1" applyBorder="1" applyAlignment="1" applyProtection="1">
      <alignment horizontal="center"/>
      <protection/>
    </xf>
    <xf numFmtId="0" fontId="0" fillId="0" borderId="60" xfId="0" applyFill="1" applyBorder="1" applyAlignment="1">
      <alignment horizontal="center"/>
    </xf>
    <xf numFmtId="169" fontId="27" fillId="0" borderId="50" xfId="0" applyNumberFormat="1" applyFont="1" applyFill="1" applyBorder="1" applyAlignment="1" applyProtection="1">
      <alignment horizontal="center"/>
      <protection/>
    </xf>
    <xf numFmtId="168" fontId="27" fillId="0" borderId="50" xfId="0" applyNumberFormat="1" applyFont="1" applyFill="1" applyBorder="1" applyAlignment="1" applyProtection="1">
      <alignment horizontal="center"/>
      <protection/>
    </xf>
    <xf numFmtId="0" fontId="0" fillId="0" borderId="0" xfId="0" applyFont="1" applyFill="1" applyBorder="1" applyAlignment="1" applyProtection="1">
      <alignment horizontal="left"/>
      <protection/>
    </xf>
    <xf numFmtId="164" fontId="0" fillId="0" borderId="58" xfId="0" applyNumberFormat="1" applyBorder="1" applyAlignment="1">
      <alignment horizontal="center"/>
    </xf>
    <xf numFmtId="0" fontId="96" fillId="0" borderId="19" xfId="0" applyFont="1" applyBorder="1" applyAlignment="1">
      <alignment horizontal="right"/>
    </xf>
    <xf numFmtId="0" fontId="96" fillId="0" borderId="20" xfId="0" applyFont="1" applyBorder="1" applyAlignment="1">
      <alignment/>
    </xf>
    <xf numFmtId="0" fontId="0" fillId="0" borderId="0" xfId="0" applyFill="1" applyBorder="1" applyAlignment="1">
      <alignment/>
    </xf>
    <xf numFmtId="2" fontId="0" fillId="0" borderId="58" xfId="0" applyNumberFormat="1" applyBorder="1" applyAlignment="1">
      <alignment horizontal="center"/>
    </xf>
    <xf numFmtId="0" fontId="0" fillId="0" borderId="61" xfId="0" applyFont="1" applyFill="1" applyBorder="1" applyAlignment="1">
      <alignment horizontal="center"/>
    </xf>
    <xf numFmtId="168" fontId="27" fillId="0" borderId="62" xfId="0" applyNumberFormat="1" applyFont="1" applyFill="1" applyBorder="1" applyAlignment="1" applyProtection="1">
      <alignment horizontal="center"/>
      <protection/>
    </xf>
    <xf numFmtId="0" fontId="0" fillId="0" borderId="59" xfId="0" applyFont="1" applyFill="1" applyBorder="1" applyAlignment="1">
      <alignment horizontal="center"/>
    </xf>
    <xf numFmtId="169" fontId="27" fillId="18" borderId="50" xfId="0" applyNumberFormat="1" applyFont="1" applyFill="1" applyBorder="1" applyAlignment="1" applyProtection="1">
      <alignment horizontal="center"/>
      <protection/>
    </xf>
    <xf numFmtId="0" fontId="0" fillId="0" borderId="49" xfId="0" applyBorder="1" applyAlignment="1">
      <alignment horizontal="center" vertical="center" wrapText="1"/>
    </xf>
    <xf numFmtId="164" fontId="27" fillId="19" borderId="49" xfId="0" applyNumberFormat="1" applyFont="1" applyFill="1" applyBorder="1" applyAlignment="1" applyProtection="1">
      <alignment horizontal="center"/>
      <protection/>
    </xf>
    <xf numFmtId="0" fontId="0" fillId="19" borderId="49" xfId="0" applyFill="1" applyBorder="1" applyAlignment="1">
      <alignment horizontal="center" vertical="center" wrapText="1"/>
    </xf>
    <xf numFmtId="2" fontId="27" fillId="0" borderId="50" xfId="0" applyNumberFormat="1" applyFont="1" applyFill="1" applyBorder="1" applyAlignment="1" applyProtection="1">
      <alignment horizontal="center"/>
      <protection/>
    </xf>
    <xf numFmtId="1" fontId="27" fillId="0" borderId="49" xfId="0" applyNumberFormat="1" applyFont="1" applyFill="1" applyBorder="1" applyAlignment="1" applyProtection="1">
      <alignment horizontal="center"/>
      <protection/>
    </xf>
    <xf numFmtId="0" fontId="27" fillId="0" borderId="57" xfId="0" applyFont="1" applyFill="1" applyBorder="1" applyAlignment="1" applyProtection="1">
      <alignment horizontal="center"/>
      <protection/>
    </xf>
    <xf numFmtId="0" fontId="27" fillId="18" borderId="50" xfId="0" applyFont="1" applyFill="1" applyBorder="1" applyAlignment="1" applyProtection="1">
      <alignment horizontal="center"/>
      <protection/>
    </xf>
    <xf numFmtId="0" fontId="27" fillId="0" borderId="50" xfId="0" applyFont="1" applyFill="1" applyBorder="1" applyAlignment="1" applyProtection="1">
      <alignment horizontal="center"/>
      <protection/>
    </xf>
    <xf numFmtId="164" fontId="27" fillId="0" borderId="50" xfId="0" applyNumberFormat="1" applyFont="1" applyFill="1" applyBorder="1" applyAlignment="1" applyProtection="1">
      <alignment horizontal="center"/>
      <protection/>
    </xf>
    <xf numFmtId="2" fontId="27" fillId="0" borderId="49" xfId="0" applyNumberFormat="1" applyFont="1" applyFill="1" applyBorder="1" applyAlignment="1" applyProtection="1">
      <alignment horizontal="center"/>
      <protection/>
    </xf>
    <xf numFmtId="0" fontId="27" fillId="0" borderId="49" xfId="0" applyFont="1" applyFill="1" applyBorder="1" applyAlignment="1" applyProtection="1">
      <alignment horizontal="center"/>
      <protection/>
    </xf>
    <xf numFmtId="170" fontId="97" fillId="18" borderId="50" xfId="0" applyNumberFormat="1" applyFont="1" applyFill="1" applyBorder="1" applyAlignment="1">
      <alignment horizontal="center"/>
    </xf>
    <xf numFmtId="4" fontId="97" fillId="0" borderId="50" xfId="0" applyNumberFormat="1" applyFont="1" applyFill="1" applyBorder="1" applyAlignment="1">
      <alignment horizontal="center"/>
    </xf>
    <xf numFmtId="164" fontId="27" fillId="18" borderId="50" xfId="0" applyNumberFormat="1" applyFont="1" applyFill="1" applyBorder="1" applyAlignment="1" applyProtection="1">
      <alignment horizontal="center"/>
      <protection/>
    </xf>
    <xf numFmtId="2" fontId="0" fillId="0" borderId="63" xfId="0" applyNumberFormat="1" applyBorder="1" applyAlignment="1">
      <alignment horizontal="center"/>
    </xf>
    <xf numFmtId="0" fontId="0" fillId="0" borderId="64" xfId="0" applyFont="1" applyFill="1" applyBorder="1" applyAlignment="1">
      <alignment horizontal="center"/>
    </xf>
    <xf numFmtId="0" fontId="0" fillId="0" borderId="65" xfId="0" applyFill="1" applyBorder="1" applyAlignment="1">
      <alignment horizontal="center"/>
    </xf>
    <xf numFmtId="164" fontId="0" fillId="18" borderId="53" xfId="0" applyNumberFormat="1" applyFont="1" applyFill="1" applyBorder="1" applyAlignment="1">
      <alignment horizontal="center"/>
    </xf>
    <xf numFmtId="2" fontId="0" fillId="0" borderId="53" xfId="0" applyNumberFormat="1" applyFont="1" applyFill="1" applyBorder="1" applyAlignment="1">
      <alignment horizontal="center"/>
    </xf>
    <xf numFmtId="0" fontId="0" fillId="19" borderId="52" xfId="0" applyFont="1" applyFill="1" applyBorder="1" applyAlignment="1" applyProtection="1">
      <alignment horizontal="left"/>
      <protection/>
    </xf>
    <xf numFmtId="3" fontId="98" fillId="0" borderId="53" xfId="0" applyNumberFormat="1" applyFont="1" applyBorder="1" applyAlignment="1">
      <alignment horizontal="center"/>
    </xf>
    <xf numFmtId="0" fontId="0" fillId="0" borderId="66" xfId="0" applyBorder="1" applyAlignment="1">
      <alignment/>
    </xf>
    <xf numFmtId="0" fontId="0" fillId="0" borderId="67" xfId="0" applyBorder="1" applyAlignment="1">
      <alignment/>
    </xf>
    <xf numFmtId="0" fontId="0" fillId="0" borderId="67" xfId="0" applyFont="1" applyFill="1" applyBorder="1" applyAlignment="1">
      <alignment/>
    </xf>
    <xf numFmtId="0" fontId="0" fillId="0" borderId="67" xfId="0" applyFont="1" applyFill="1" applyBorder="1" applyAlignment="1">
      <alignment horizontal="center"/>
    </xf>
    <xf numFmtId="0" fontId="0" fillId="0" borderId="68" xfId="0" applyBorder="1" applyAlignment="1">
      <alignment/>
    </xf>
    <xf numFmtId="0" fontId="0" fillId="0" borderId="0" xfId="0" applyFont="1" applyFill="1" applyAlignment="1">
      <alignment/>
    </xf>
    <xf numFmtId="0" fontId="99" fillId="0" borderId="0" xfId="0" applyFont="1" applyAlignment="1">
      <alignment/>
    </xf>
    <xf numFmtId="0" fontId="0" fillId="0" borderId="69" xfId="0" applyBorder="1" applyAlignment="1">
      <alignment horizontal="center"/>
    </xf>
    <xf numFmtId="0" fontId="0" fillId="34" borderId="0" xfId="0" applyFill="1" applyBorder="1" applyAlignment="1">
      <alignment horizontal="center"/>
    </xf>
    <xf numFmtId="0" fontId="0" fillId="34" borderId="42" xfId="0" applyFill="1" applyBorder="1" applyAlignment="1">
      <alignment horizontal="center"/>
    </xf>
    <xf numFmtId="0" fontId="0" fillId="0" borderId="42" xfId="0" applyBorder="1" applyAlignment="1">
      <alignment horizontal="center"/>
    </xf>
    <xf numFmtId="3" fontId="0" fillId="0" borderId="70" xfId="0" applyNumberFormat="1" applyBorder="1" applyAlignment="1">
      <alignment/>
    </xf>
    <xf numFmtId="3" fontId="0" fillId="0" borderId="71" xfId="0" applyNumberFormat="1" applyBorder="1" applyAlignment="1">
      <alignment horizontal="center"/>
    </xf>
    <xf numFmtId="0" fontId="0" fillId="0" borderId="72" xfId="0" applyBorder="1" applyAlignment="1">
      <alignment/>
    </xf>
    <xf numFmtId="0" fontId="0" fillId="35" borderId="0" xfId="0" applyFill="1" applyBorder="1" applyAlignment="1">
      <alignment/>
    </xf>
    <xf numFmtId="171" fontId="0" fillId="35" borderId="0" xfId="0" applyNumberFormat="1" applyFill="1" applyBorder="1" applyAlignment="1">
      <alignment horizontal="center"/>
    </xf>
    <xf numFmtId="3" fontId="0" fillId="0" borderId="70" xfId="0" applyNumberFormat="1" applyBorder="1" applyAlignment="1">
      <alignment horizontal="center"/>
    </xf>
    <xf numFmtId="0" fontId="0" fillId="0" borderId="72" xfId="0" applyBorder="1" applyAlignment="1">
      <alignment horizontal="center"/>
    </xf>
    <xf numFmtId="0" fontId="0" fillId="35" borderId="0" xfId="0" applyFill="1"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0" fillId="0" borderId="0" xfId="0" applyFont="1" applyFill="1" applyBorder="1" applyAlignment="1">
      <alignment horizontal="center"/>
    </xf>
    <xf numFmtId="0" fontId="23" fillId="0" borderId="0" xfId="0" applyFont="1" applyFill="1" applyBorder="1" applyAlignment="1">
      <alignment horizontal="center"/>
    </xf>
    <xf numFmtId="0" fontId="23" fillId="0" borderId="0" xfId="0" applyFont="1" applyBorder="1" applyAlignment="1">
      <alignment horizontal="left"/>
    </xf>
    <xf numFmtId="0" fontId="0" fillId="0" borderId="0" xfId="0" applyFont="1" applyBorder="1" applyAlignment="1">
      <alignment/>
    </xf>
    <xf numFmtId="0" fontId="23" fillId="0" borderId="0" xfId="0" applyFont="1" applyBorder="1" applyAlignment="1">
      <alignment horizontal="center"/>
    </xf>
    <xf numFmtId="0" fontId="23" fillId="0" borderId="0" xfId="0" applyFont="1" applyBorder="1" applyAlignment="1">
      <alignment/>
    </xf>
    <xf numFmtId="3" fontId="23" fillId="0" borderId="0" xfId="0" applyNumberFormat="1" applyFont="1" applyBorder="1" applyAlignment="1">
      <alignment horizontal="center"/>
    </xf>
    <xf numFmtId="3" fontId="0" fillId="0" borderId="0" xfId="0" applyNumberFormat="1" applyBorder="1" applyAlignment="1">
      <alignment horizontal="center"/>
    </xf>
    <xf numFmtId="3" fontId="0" fillId="0" borderId="0" xfId="0" applyNumberFormat="1" applyBorder="1" applyAlignment="1">
      <alignment/>
    </xf>
    <xf numFmtId="0" fontId="23" fillId="0" borderId="22" xfId="0" applyFont="1" applyBorder="1" applyAlignment="1">
      <alignment horizontal="center"/>
    </xf>
    <xf numFmtId="0" fontId="0" fillId="0" borderId="22" xfId="0" applyBorder="1" applyAlignment="1">
      <alignment/>
    </xf>
    <xf numFmtId="0" fontId="23" fillId="0" borderId="18" xfId="0" applyFont="1" applyBorder="1" applyAlignment="1">
      <alignment horizontal="center"/>
    </xf>
    <xf numFmtId="0" fontId="23" fillId="0" borderId="36" xfId="0" applyFont="1" applyBorder="1" applyAlignment="1">
      <alignment horizontal="center"/>
    </xf>
    <xf numFmtId="0" fontId="0" fillId="0" borderId="36" xfId="0" applyBorder="1" applyAlignment="1">
      <alignment/>
    </xf>
    <xf numFmtId="0" fontId="0" fillId="0" borderId="73" xfId="0" applyBorder="1" applyAlignment="1">
      <alignment/>
    </xf>
    <xf numFmtId="0" fontId="23" fillId="0" borderId="23" xfId="0" applyFont="1" applyFill="1" applyBorder="1" applyAlignment="1">
      <alignment horizontal="center"/>
    </xf>
    <xf numFmtId="0" fontId="0" fillId="0" borderId="37" xfId="0" applyFont="1" applyBorder="1" applyAlignment="1">
      <alignment/>
    </xf>
    <xf numFmtId="0" fontId="0" fillId="0" borderId="37" xfId="0" applyBorder="1" applyAlignment="1">
      <alignment/>
    </xf>
    <xf numFmtId="0" fontId="0" fillId="0" borderId="27" xfId="0" applyBorder="1" applyAlignment="1">
      <alignment/>
    </xf>
    <xf numFmtId="0" fontId="0" fillId="0" borderId="28" xfId="0" applyBorder="1" applyAlignment="1">
      <alignment/>
    </xf>
    <xf numFmtId="2" fontId="0" fillId="35" borderId="37" xfId="0" applyNumberFormat="1" applyFill="1" applyBorder="1" applyAlignment="1">
      <alignment horizontal="center"/>
    </xf>
    <xf numFmtId="0" fontId="0" fillId="0" borderId="0" xfId="0" applyFont="1" applyAlignment="1">
      <alignment horizontal="center"/>
    </xf>
    <xf numFmtId="0" fontId="0" fillId="0" borderId="0" xfId="0" applyFont="1" applyBorder="1" applyAlignment="1">
      <alignment horizontal="center"/>
    </xf>
    <xf numFmtId="0" fontId="0" fillId="0" borderId="22" xfId="0" applyFont="1" applyBorder="1" applyAlignment="1">
      <alignment horizontal="center"/>
    </xf>
    <xf numFmtId="0" fontId="0" fillId="0" borderId="36" xfId="0" applyFont="1" applyFill="1" applyBorder="1" applyAlignment="1">
      <alignment horizontal="center"/>
    </xf>
    <xf numFmtId="0" fontId="0" fillId="0" borderId="0" xfId="0" applyBorder="1" applyAlignment="1">
      <alignment wrapText="1"/>
    </xf>
    <xf numFmtId="0" fontId="0" fillId="0" borderId="74" xfId="0" applyBorder="1" applyAlignment="1">
      <alignment horizontal="center"/>
    </xf>
    <xf numFmtId="0" fontId="0" fillId="0" borderId="22" xfId="0" applyBorder="1" applyAlignment="1">
      <alignment horizontal="center"/>
    </xf>
    <xf numFmtId="0" fontId="0" fillId="0" borderId="18" xfId="0" applyBorder="1" applyAlignment="1">
      <alignment horizontal="center"/>
    </xf>
    <xf numFmtId="0" fontId="40" fillId="0" borderId="10" xfId="0" applyFont="1" applyBorder="1" applyAlignment="1">
      <alignment horizontal="center"/>
    </xf>
    <xf numFmtId="0" fontId="3" fillId="0" borderId="75" xfId="0" applyFont="1" applyBorder="1" applyAlignment="1">
      <alignment horizontal="centerContinuous"/>
    </xf>
    <xf numFmtId="0" fontId="3" fillId="0" borderId="76" xfId="0" applyFont="1" applyBorder="1" applyAlignment="1">
      <alignment horizontal="centerContinuous"/>
    </xf>
    <xf numFmtId="0" fontId="40" fillId="0" borderId="12" xfId="0" applyFont="1" applyBorder="1" applyAlignment="1">
      <alignment horizontal="center"/>
    </xf>
    <xf numFmtId="0" fontId="2" fillId="0" borderId="45" xfId="0" applyFont="1" applyBorder="1" applyAlignment="1">
      <alignment/>
    </xf>
    <xf numFmtId="0" fontId="0" fillId="0" borderId="77" xfId="0" applyBorder="1" applyAlignment="1">
      <alignment/>
    </xf>
    <xf numFmtId="0" fontId="0" fillId="0" borderId="78" xfId="0" applyBorder="1" applyAlignment="1">
      <alignment/>
    </xf>
    <xf numFmtId="0" fontId="3" fillId="0" borderId="79" xfId="0" applyFont="1" applyBorder="1" applyAlignment="1">
      <alignment/>
    </xf>
    <xf numFmtId="0" fontId="0" fillId="0" borderId="80" xfId="0" applyBorder="1" applyAlignment="1">
      <alignment/>
    </xf>
    <xf numFmtId="167" fontId="0" fillId="0" borderId="80" xfId="0" applyNumberFormat="1" applyBorder="1" applyAlignment="1">
      <alignment/>
    </xf>
    <xf numFmtId="0" fontId="0" fillId="0" borderId="81" xfId="0" applyBorder="1" applyAlignment="1">
      <alignment/>
    </xf>
    <xf numFmtId="0" fontId="0" fillId="0" borderId="82" xfId="0" applyBorder="1" applyAlignment="1">
      <alignment/>
    </xf>
    <xf numFmtId="0" fontId="0" fillId="0" borderId="83" xfId="0" applyBorder="1" applyAlignment="1">
      <alignment/>
    </xf>
    <xf numFmtId="0" fontId="0" fillId="0" borderId="82" xfId="0" applyBorder="1" applyAlignment="1">
      <alignment horizontal="center"/>
    </xf>
    <xf numFmtId="0" fontId="0" fillId="0" borderId="83" xfId="0" applyBorder="1" applyAlignment="1">
      <alignment horizontal="center"/>
    </xf>
    <xf numFmtId="0" fontId="3" fillId="0" borderId="82" xfId="0" applyFont="1" applyBorder="1" applyAlignment="1">
      <alignment/>
    </xf>
    <xf numFmtId="0" fontId="0" fillId="0" borderId="82" xfId="0" applyFont="1" applyBorder="1" applyAlignment="1">
      <alignment/>
    </xf>
    <xf numFmtId="0" fontId="3" fillId="0" borderId="84" xfId="0" applyFont="1" applyBorder="1" applyAlignment="1">
      <alignment/>
    </xf>
    <xf numFmtId="0" fontId="3" fillId="0" borderId="85" xfId="0" applyFont="1" applyBorder="1" applyAlignment="1">
      <alignment/>
    </xf>
    <xf numFmtId="0" fontId="20" fillId="0" borderId="84" xfId="0" applyFont="1" applyBorder="1" applyAlignment="1">
      <alignment horizontal="center" wrapText="1"/>
    </xf>
    <xf numFmtId="0" fontId="3" fillId="0" borderId="85" xfId="0" applyFont="1" applyBorder="1" applyAlignment="1">
      <alignment horizontal="center" wrapText="1"/>
    </xf>
    <xf numFmtId="0" fontId="0" fillId="0" borderId="84" xfId="0" applyBorder="1" applyAlignment="1">
      <alignment horizontal="center"/>
    </xf>
    <xf numFmtId="0" fontId="0" fillId="0" borderId="85" xfId="0" applyBorder="1" applyAlignment="1">
      <alignment horizontal="center"/>
    </xf>
    <xf numFmtId="0" fontId="0" fillId="0" borderId="84" xfId="0" applyBorder="1" applyAlignment="1">
      <alignment/>
    </xf>
    <xf numFmtId="0" fontId="0" fillId="0" borderId="85" xfId="0" applyBorder="1" applyAlignment="1">
      <alignment/>
    </xf>
    <xf numFmtId="0" fontId="0" fillId="33" borderId="84" xfId="0" applyFill="1" applyBorder="1" applyAlignment="1">
      <alignment/>
    </xf>
    <xf numFmtId="0" fontId="0" fillId="0" borderId="82" xfId="0" applyFill="1" applyBorder="1" applyAlignment="1">
      <alignment/>
    </xf>
    <xf numFmtId="0" fontId="0" fillId="0" borderId="82" xfId="0" applyFont="1" applyFill="1" applyBorder="1" applyAlignment="1">
      <alignment horizontal="left"/>
    </xf>
    <xf numFmtId="0" fontId="0" fillId="0" borderId="82" xfId="0" applyFont="1" applyBorder="1" applyAlignment="1">
      <alignment horizontal="center"/>
    </xf>
    <xf numFmtId="0" fontId="0" fillId="0" borderId="86" xfId="0" applyBorder="1" applyAlignment="1">
      <alignment/>
    </xf>
    <xf numFmtId="0" fontId="0" fillId="0" borderId="87" xfId="0" applyBorder="1" applyAlignment="1">
      <alignment/>
    </xf>
    <xf numFmtId="0" fontId="0" fillId="0" borderId="88" xfId="0" applyBorder="1" applyAlignment="1">
      <alignment/>
    </xf>
    <xf numFmtId="167" fontId="0" fillId="0" borderId="88" xfId="0" applyNumberFormat="1" applyBorder="1" applyAlignment="1">
      <alignment/>
    </xf>
    <xf numFmtId="0" fontId="0" fillId="0" borderId="89" xfId="0" applyBorder="1" applyAlignment="1">
      <alignment/>
    </xf>
    <xf numFmtId="0" fontId="0" fillId="0" borderId="90" xfId="0" applyBorder="1" applyAlignment="1">
      <alignment horizontal="center"/>
    </xf>
    <xf numFmtId="0" fontId="0" fillId="0" borderId="73" xfId="0" applyBorder="1" applyAlignment="1">
      <alignment horizontal="center"/>
    </xf>
    <xf numFmtId="0" fontId="0" fillId="0" borderId="91" xfId="0" applyBorder="1" applyAlignment="1">
      <alignment horizontal="center"/>
    </xf>
    <xf numFmtId="166" fontId="0" fillId="33" borderId="73" xfId="0" applyNumberFormat="1" applyFill="1" applyBorder="1" applyAlignment="1">
      <alignment horizontal="center"/>
    </xf>
    <xf numFmtId="0" fontId="6" fillId="0" borderId="73" xfId="0" applyFont="1" applyBorder="1" applyAlignment="1">
      <alignment/>
    </xf>
    <xf numFmtId="0" fontId="0" fillId="0" borderId="92" xfId="0" applyBorder="1" applyAlignment="1">
      <alignment/>
    </xf>
    <xf numFmtId="0" fontId="0" fillId="33" borderId="10" xfId="0" applyFill="1" applyBorder="1" applyAlignment="1">
      <alignment horizontal="center"/>
    </xf>
    <xf numFmtId="0" fontId="0" fillId="0" borderId="0" xfId="0" applyFont="1" applyAlignment="1" quotePrefix="1">
      <alignment/>
    </xf>
    <xf numFmtId="0" fontId="0" fillId="0" borderId="22" xfId="0" applyFont="1" applyBorder="1" applyAlignment="1">
      <alignment/>
    </xf>
    <xf numFmtId="0" fontId="0" fillId="0" borderId="18" xfId="0" applyFont="1" applyBorder="1" applyAlignment="1">
      <alignment/>
    </xf>
    <xf numFmtId="0" fontId="0" fillId="0" borderId="23" xfId="0" applyFont="1" applyBorder="1" applyAlignment="1">
      <alignment/>
    </xf>
    <xf numFmtId="0" fontId="0" fillId="0" borderId="93" xfId="0" applyBorder="1" applyAlignment="1">
      <alignment horizontal="center"/>
    </xf>
    <xf numFmtId="0" fontId="0" fillId="0" borderId="28" xfId="0" applyBorder="1" applyAlignment="1">
      <alignment horizontal="center"/>
    </xf>
    <xf numFmtId="0" fontId="0" fillId="0" borderId="25" xfId="0" applyFont="1" applyBorder="1" applyAlignment="1">
      <alignment/>
    </xf>
    <xf numFmtId="0" fontId="0" fillId="0" borderId="94" xfId="0" applyFont="1" applyBorder="1" applyAlignment="1">
      <alignment/>
    </xf>
    <xf numFmtId="0" fontId="0" fillId="0" borderId="94" xfId="0" applyBorder="1" applyAlignment="1">
      <alignment horizontal="center"/>
    </xf>
    <xf numFmtId="0" fontId="0" fillId="0" borderId="21" xfId="0" applyFont="1" applyBorder="1" applyAlignment="1">
      <alignment/>
    </xf>
    <xf numFmtId="0" fontId="23" fillId="0" borderId="24" xfId="0" applyFont="1" applyBorder="1" applyAlignment="1">
      <alignment horizontal="center"/>
    </xf>
    <xf numFmtId="0" fontId="0" fillId="0" borderId="90" xfId="0" applyFont="1" applyBorder="1" applyAlignment="1">
      <alignment horizontal="center"/>
    </xf>
    <xf numFmtId="0" fontId="0" fillId="0" borderId="73" xfId="0" applyFont="1" applyBorder="1" applyAlignment="1">
      <alignment horizontal="center"/>
    </xf>
    <xf numFmtId="0" fontId="94" fillId="0" borderId="0" xfId="0" applyFont="1" applyBorder="1" applyAlignment="1">
      <alignment/>
    </xf>
    <xf numFmtId="0" fontId="0" fillId="0" borderId="28" xfId="0" applyFont="1" applyBorder="1" applyAlignment="1">
      <alignment/>
    </xf>
    <xf numFmtId="0" fontId="0" fillId="0" borderId="25" xfId="0" applyBorder="1" applyAlignment="1">
      <alignment/>
    </xf>
    <xf numFmtId="0" fontId="0" fillId="0" borderId="11" xfId="0" applyFont="1" applyBorder="1" applyAlignment="1">
      <alignment horizontal="center"/>
    </xf>
    <xf numFmtId="0" fontId="0" fillId="0" borderId="24" xfId="0" applyFont="1" applyFill="1" applyBorder="1" applyAlignment="1">
      <alignment horizontal="center"/>
    </xf>
    <xf numFmtId="0" fontId="0" fillId="0" borderId="0" xfId="0" applyFont="1" applyBorder="1" applyAlignment="1">
      <alignment/>
    </xf>
    <xf numFmtId="0" fontId="0" fillId="0" borderId="37" xfId="0" applyFont="1" applyBorder="1" applyAlignment="1">
      <alignment/>
    </xf>
    <xf numFmtId="0" fontId="0" fillId="34" borderId="94" xfId="0" applyFill="1" applyBorder="1" applyAlignment="1">
      <alignment horizontal="center"/>
    </xf>
    <xf numFmtId="0" fontId="0" fillId="34" borderId="21" xfId="0" applyFill="1" applyBorder="1" applyAlignment="1">
      <alignment horizontal="center"/>
    </xf>
    <xf numFmtId="0" fontId="0" fillId="0" borderId="23" xfId="0" applyFont="1" applyBorder="1" applyAlignment="1">
      <alignment horizontal="center"/>
    </xf>
    <xf numFmtId="0" fontId="0" fillId="0" borderId="94" xfId="0" applyFont="1" applyBorder="1" applyAlignment="1">
      <alignment horizontal="center"/>
    </xf>
    <xf numFmtId="0" fontId="0" fillId="0" borderId="21" xfId="0" applyFont="1" applyBorder="1" applyAlignment="1">
      <alignment horizontal="center"/>
    </xf>
    <xf numFmtId="0" fontId="0" fillId="0" borderId="37" xfId="0" applyFont="1" applyBorder="1" applyAlignment="1">
      <alignment horizontal="center"/>
    </xf>
    <xf numFmtId="0" fontId="0" fillId="0" borderId="19" xfId="0" applyFont="1" applyBorder="1" applyAlignment="1">
      <alignment horizontal="center"/>
    </xf>
    <xf numFmtId="0" fontId="0" fillId="0" borderId="23" xfId="0" applyFont="1" applyFill="1" applyBorder="1" applyAlignment="1">
      <alignment horizontal="center"/>
    </xf>
    <xf numFmtId="0" fontId="0" fillId="0" borderId="19" xfId="0" applyFont="1" applyFill="1" applyBorder="1" applyAlignment="1">
      <alignment horizontal="center"/>
    </xf>
    <xf numFmtId="0" fontId="0" fillId="34" borderId="19" xfId="0" applyFill="1" applyBorder="1" applyAlignment="1">
      <alignment horizontal="center"/>
    </xf>
    <xf numFmtId="0" fontId="0" fillId="0" borderId="20" xfId="0" applyFont="1" applyBorder="1" applyAlignment="1">
      <alignment horizontal="center"/>
    </xf>
    <xf numFmtId="0" fontId="0" fillId="0" borderId="49" xfId="0" applyBorder="1" applyAlignment="1">
      <alignment horizontal="center"/>
    </xf>
    <xf numFmtId="0" fontId="0" fillId="0" borderId="22" xfId="0" applyFont="1" applyFill="1" applyBorder="1" applyAlignment="1">
      <alignment horizontal="center"/>
    </xf>
    <xf numFmtId="0" fontId="0" fillId="0" borderId="0" xfId="0" applyFont="1" applyFill="1" applyBorder="1" applyAlignment="1">
      <alignment horizontal="left"/>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wrapText="1"/>
    </xf>
    <xf numFmtId="0" fontId="0" fillId="0" borderId="0" xfId="0" applyFont="1" applyBorder="1" applyAlignment="1" quotePrefix="1">
      <alignment/>
    </xf>
    <xf numFmtId="0" fontId="4" fillId="0" borderId="0" xfId="0" applyFont="1" applyBorder="1" applyAlignment="1">
      <alignment/>
    </xf>
    <xf numFmtId="0" fontId="40" fillId="0" borderId="0" xfId="0" applyFont="1" applyBorder="1" applyAlignment="1">
      <alignment horizontal="center"/>
    </xf>
    <xf numFmtId="0" fontId="0" fillId="0" borderId="41" xfId="0" applyFont="1" applyBorder="1" applyAlignment="1">
      <alignment/>
    </xf>
    <xf numFmtId="0" fontId="0" fillId="0" borderId="22" xfId="0" applyFont="1" applyFill="1" applyBorder="1" applyAlignment="1">
      <alignment/>
    </xf>
    <xf numFmtId="0" fontId="0" fillId="0" borderId="18" xfId="0" applyFont="1" applyBorder="1" applyAlignment="1">
      <alignment horizontal="left"/>
    </xf>
    <xf numFmtId="0" fontId="12" fillId="0" borderId="27" xfId="0" applyFont="1" applyBorder="1" applyAlignment="1">
      <alignment/>
    </xf>
    <xf numFmtId="0" fontId="41" fillId="0" borderId="0" xfId="0" applyFont="1" applyBorder="1" applyAlignment="1">
      <alignment/>
    </xf>
    <xf numFmtId="0" fontId="41" fillId="0" borderId="27" xfId="0" applyFont="1" applyBorder="1" applyAlignment="1">
      <alignment/>
    </xf>
    <xf numFmtId="0" fontId="23" fillId="0" borderId="27" xfId="0" applyFont="1" applyBorder="1" applyAlignment="1">
      <alignment/>
    </xf>
    <xf numFmtId="0" fontId="0" fillId="35" borderId="37" xfId="0" applyFont="1" applyFill="1" applyBorder="1" applyAlignment="1">
      <alignment horizontal="center"/>
    </xf>
    <xf numFmtId="164" fontId="0" fillId="35" borderId="37" xfId="0" applyNumberFormat="1" applyFont="1" applyFill="1" applyBorder="1" applyAlignment="1">
      <alignment horizontal="center"/>
    </xf>
    <xf numFmtId="0" fontId="0" fillId="35" borderId="0" xfId="0" applyFont="1" applyFill="1" applyBorder="1" applyAlignment="1">
      <alignment horizontal="center"/>
    </xf>
    <xf numFmtId="0" fontId="0" fillId="0" borderId="18" xfId="0" applyFont="1" applyFill="1" applyBorder="1" applyAlignment="1">
      <alignment horizontal="left"/>
    </xf>
    <xf numFmtId="0" fontId="0" fillId="0" borderId="36" xfId="0" applyFont="1" applyBorder="1" applyAlignment="1">
      <alignment/>
    </xf>
    <xf numFmtId="0" fontId="0" fillId="0" borderId="26" xfId="0" applyFont="1" applyBorder="1" applyAlignment="1">
      <alignment/>
    </xf>
    <xf numFmtId="0" fontId="3" fillId="0" borderId="0" xfId="0" applyFont="1" applyBorder="1" applyAlignment="1">
      <alignment horizontal="left"/>
    </xf>
    <xf numFmtId="164" fontId="0" fillId="0" borderId="0" xfId="0" applyNumberFormat="1" applyBorder="1" applyAlignment="1">
      <alignment/>
    </xf>
    <xf numFmtId="0" fontId="9" fillId="0" borderId="0" xfId="0" applyFont="1" applyBorder="1" applyAlignment="1">
      <alignment/>
    </xf>
    <xf numFmtId="0" fontId="9" fillId="0" borderId="67" xfId="0" applyFont="1" applyBorder="1" applyAlignment="1">
      <alignment/>
    </xf>
    <xf numFmtId="0" fontId="0" fillId="0" borderId="18" xfId="0" applyFont="1" applyBorder="1" applyAlignment="1">
      <alignment horizontal="center"/>
    </xf>
    <xf numFmtId="0" fontId="0" fillId="0" borderId="24" xfId="0" applyFont="1" applyBorder="1" applyAlignment="1">
      <alignment horizontal="center"/>
    </xf>
    <xf numFmtId="0" fontId="0" fillId="0" borderId="27" xfId="0" applyFont="1" applyBorder="1" applyAlignment="1">
      <alignment horizontal="center"/>
    </xf>
    <xf numFmtId="164" fontId="0" fillId="0" borderId="21" xfId="0" applyNumberFormat="1" applyBorder="1" applyAlignment="1">
      <alignment horizontal="center"/>
    </xf>
    <xf numFmtId="166" fontId="0" fillId="0" borderId="0" xfId="0" applyNumberFormat="1" applyFont="1" applyAlignment="1">
      <alignment horizontal="center"/>
    </xf>
    <xf numFmtId="164" fontId="0" fillId="0" borderId="19" xfId="0" applyNumberFormat="1" applyBorder="1" applyAlignment="1">
      <alignment horizontal="center"/>
    </xf>
    <xf numFmtId="0" fontId="0" fillId="0" borderId="25" xfId="0" applyFont="1" applyBorder="1" applyAlignment="1">
      <alignment horizontal="center"/>
    </xf>
    <xf numFmtId="0" fontId="0" fillId="0" borderId="0" xfId="0" applyFont="1" applyFill="1" applyBorder="1" applyAlignment="1">
      <alignment/>
    </xf>
    <xf numFmtId="0" fontId="0" fillId="0" borderId="18" xfId="0" applyFont="1" applyFill="1" applyBorder="1" applyAlignment="1">
      <alignment/>
    </xf>
    <xf numFmtId="2" fontId="0" fillId="35" borderId="37" xfId="0" applyNumberFormat="1" applyFont="1" applyFill="1" applyBorder="1" applyAlignment="1">
      <alignment/>
    </xf>
    <xf numFmtId="0" fontId="0" fillId="0" borderId="28" xfId="0" applyFont="1" applyFill="1" applyBorder="1" applyAlignment="1">
      <alignment/>
    </xf>
    <xf numFmtId="166" fontId="0" fillId="0" borderId="0" xfId="0" applyNumberFormat="1" applyBorder="1" applyAlignment="1">
      <alignment horizontal="center"/>
    </xf>
    <xf numFmtId="0" fontId="23" fillId="0" borderId="0" xfId="0" applyFont="1" applyFill="1" applyBorder="1" applyAlignment="1">
      <alignment/>
    </xf>
    <xf numFmtId="0" fontId="23" fillId="0" borderId="23" xfId="0" applyFont="1" applyBorder="1" applyAlignment="1">
      <alignment horizontal="center"/>
    </xf>
    <xf numFmtId="0" fontId="23" fillId="0" borderId="37" xfId="0" applyFont="1" applyFill="1" applyBorder="1" applyAlignment="1">
      <alignment/>
    </xf>
    <xf numFmtId="0" fontId="0" fillId="0" borderId="0" xfId="0" applyAlignment="1">
      <alignment vertical="center" wrapText="1"/>
    </xf>
    <xf numFmtId="166" fontId="0" fillId="0" borderId="0" xfId="0" applyNumberFormat="1" applyFont="1" applyBorder="1" applyAlignment="1">
      <alignment horizontal="center"/>
    </xf>
    <xf numFmtId="164" fontId="0" fillId="0" borderId="0" xfId="0" applyNumberFormat="1" applyBorder="1" applyAlignment="1">
      <alignment horizontal="center"/>
    </xf>
    <xf numFmtId="1" fontId="0" fillId="0" borderId="0" xfId="0" applyNumberFormat="1" applyBorder="1" applyAlignment="1">
      <alignment horizontal="center"/>
    </xf>
    <xf numFmtId="0" fontId="0" fillId="0" borderId="0" xfId="0" applyFont="1" applyAlignment="1">
      <alignment wrapText="1"/>
    </xf>
    <xf numFmtId="0" fontId="23" fillId="0" borderId="36" xfId="0" applyFont="1" applyBorder="1" applyAlignment="1">
      <alignment horizontal="left"/>
    </xf>
    <xf numFmtId="166" fontId="0" fillId="35" borderId="37" xfId="0" applyNumberFormat="1" applyFill="1" applyBorder="1" applyAlignment="1">
      <alignment horizontal="center"/>
    </xf>
    <xf numFmtId="3" fontId="0" fillId="35" borderId="37" xfId="0" applyNumberFormat="1" applyFill="1" applyBorder="1" applyAlignment="1">
      <alignment horizontal="center"/>
    </xf>
    <xf numFmtId="0" fontId="100" fillId="0" borderId="0" xfId="0" applyFont="1" applyBorder="1" applyAlignment="1">
      <alignment horizontal="center"/>
    </xf>
    <xf numFmtId="0" fontId="100" fillId="0" borderId="0" xfId="0" applyFont="1" applyAlignment="1">
      <alignment horizontal="center"/>
    </xf>
    <xf numFmtId="0" fontId="100" fillId="0" borderId="40" xfId="0" applyFont="1" applyBorder="1" applyAlignment="1">
      <alignment horizontal="center"/>
    </xf>
    <xf numFmtId="0" fontId="100" fillId="0" borderId="42" xfId="0" applyFont="1" applyBorder="1" applyAlignment="1">
      <alignment horizontal="center"/>
    </xf>
    <xf numFmtId="0" fontId="100" fillId="0" borderId="68" xfId="0" applyFont="1" applyBorder="1" applyAlignment="1">
      <alignment horizontal="center"/>
    </xf>
    <xf numFmtId="0" fontId="100" fillId="0" borderId="37" xfId="0" applyFont="1" applyBorder="1" applyAlignment="1">
      <alignment horizontal="center"/>
    </xf>
    <xf numFmtId="0" fontId="10" fillId="0" borderId="0" xfId="0" applyFont="1" applyBorder="1" applyAlignment="1">
      <alignment wrapText="1"/>
    </xf>
    <xf numFmtId="0" fontId="0" fillId="0" borderId="0" xfId="0" applyFont="1" applyBorder="1" applyAlignment="1">
      <alignment wrapText="1"/>
    </xf>
    <xf numFmtId="0" fontId="9" fillId="0" borderId="0" xfId="0" applyFont="1" applyBorder="1" applyAlignment="1">
      <alignment wrapText="1"/>
    </xf>
    <xf numFmtId="0" fontId="18" fillId="0" borderId="0" xfId="0" applyFont="1" applyBorder="1" applyAlignment="1">
      <alignment wrapText="1"/>
    </xf>
    <xf numFmtId="0" fontId="18" fillId="0" borderId="0" xfId="0" applyFont="1" applyBorder="1" applyAlignment="1">
      <alignment wrapText="1"/>
    </xf>
    <xf numFmtId="0" fontId="10" fillId="0" borderId="0" xfId="0" applyFont="1" applyBorder="1" applyAlignment="1">
      <alignment/>
    </xf>
    <xf numFmtId="0" fontId="16" fillId="0" borderId="0" xfId="0" applyFont="1" applyBorder="1" applyAlignment="1">
      <alignment/>
    </xf>
    <xf numFmtId="166" fontId="101" fillId="36" borderId="0" xfId="0" applyNumberFormat="1" applyFont="1" applyFill="1" applyBorder="1" applyAlignment="1">
      <alignment horizontal="center"/>
    </xf>
    <xf numFmtId="2" fontId="0" fillId="0" borderId="0" xfId="0" applyNumberFormat="1" applyFont="1" applyBorder="1" applyAlignment="1">
      <alignment horizontal="center"/>
    </xf>
    <xf numFmtId="3" fontId="0" fillId="0" borderId="0" xfId="0" applyNumberFormat="1" applyFont="1" applyBorder="1" applyAlignment="1">
      <alignment/>
    </xf>
    <xf numFmtId="164" fontId="0" fillId="0" borderId="39" xfId="0" applyNumberFormat="1" applyBorder="1" applyAlignment="1">
      <alignment/>
    </xf>
    <xf numFmtId="0" fontId="0" fillId="0" borderId="39" xfId="0" applyFont="1" applyBorder="1" applyAlignment="1">
      <alignment/>
    </xf>
    <xf numFmtId="166" fontId="0" fillId="0" borderId="39" xfId="0" applyNumberFormat="1" applyFont="1" applyBorder="1" applyAlignment="1">
      <alignment/>
    </xf>
    <xf numFmtId="0" fontId="0" fillId="0" borderId="95" xfId="0" applyFont="1" applyBorder="1" applyAlignment="1">
      <alignment horizontal="center"/>
    </xf>
    <xf numFmtId="0" fontId="9" fillId="0" borderId="0" xfId="0" applyFont="1" applyBorder="1" applyAlignment="1">
      <alignment/>
    </xf>
    <xf numFmtId="0" fontId="0" fillId="0" borderId="10" xfId="0" applyFont="1" applyBorder="1" applyAlignment="1">
      <alignment horizontal="center"/>
    </xf>
    <xf numFmtId="0" fontId="0" fillId="0" borderId="11" xfId="0" applyFont="1" applyBorder="1" applyAlignment="1">
      <alignment horizontal="center" wrapText="1"/>
    </xf>
    <xf numFmtId="0" fontId="40" fillId="0" borderId="96" xfId="0" applyFont="1" applyBorder="1" applyAlignment="1">
      <alignment horizontal="center"/>
    </xf>
    <xf numFmtId="0" fontId="40" fillId="0" borderId="97" xfId="0" applyFont="1" applyBorder="1" applyAlignment="1">
      <alignment horizontal="center"/>
    </xf>
    <xf numFmtId="0" fontId="0" fillId="0" borderId="18" xfId="0" applyFont="1" applyBorder="1" applyAlignment="1">
      <alignment horizontal="center" wrapText="1"/>
    </xf>
    <xf numFmtId="0" fontId="0" fillId="0" borderId="98" xfId="0" applyFont="1" applyFill="1" applyBorder="1" applyAlignment="1">
      <alignment horizontal="center"/>
    </xf>
    <xf numFmtId="0" fontId="0" fillId="0" borderId="99" xfId="0" applyBorder="1" applyAlignment="1">
      <alignment horizontal="center"/>
    </xf>
    <xf numFmtId="3" fontId="0" fillId="0" borderId="21" xfId="0" applyNumberFormat="1" applyBorder="1" applyAlignment="1">
      <alignment/>
    </xf>
    <xf numFmtId="2" fontId="0" fillId="35" borderId="21" xfId="0" applyNumberFormat="1" applyFill="1" applyBorder="1" applyAlignment="1">
      <alignment horizontal="center"/>
    </xf>
    <xf numFmtId="2" fontId="0" fillId="19" borderId="21" xfId="0" applyNumberFormat="1" applyFill="1" applyBorder="1" applyAlignment="1">
      <alignment horizontal="center"/>
    </xf>
    <xf numFmtId="166" fontId="0" fillId="34" borderId="21" xfId="0" applyNumberFormat="1" applyFill="1" applyBorder="1" applyAlignment="1">
      <alignment horizontal="center"/>
    </xf>
    <xf numFmtId="11" fontId="0" fillId="0" borderId="21" xfId="0" applyNumberFormat="1" applyBorder="1" applyAlignment="1">
      <alignment horizontal="center"/>
    </xf>
    <xf numFmtId="4" fontId="0" fillId="35" borderId="21" xfId="0" applyNumberFormat="1" applyFill="1" applyBorder="1" applyAlignment="1">
      <alignment horizontal="center"/>
    </xf>
    <xf numFmtId="4" fontId="0" fillId="0" borderId="21" xfId="0" applyNumberFormat="1" applyBorder="1" applyAlignment="1">
      <alignment horizontal="center"/>
    </xf>
    <xf numFmtId="4" fontId="0" fillId="35" borderId="21" xfId="0" applyNumberFormat="1" applyFont="1" applyFill="1" applyBorder="1" applyAlignment="1">
      <alignment horizontal="center"/>
    </xf>
    <xf numFmtId="4" fontId="0" fillId="37" borderId="24" xfId="0" applyNumberFormat="1" applyFont="1" applyFill="1" applyBorder="1" applyAlignment="1">
      <alignment horizontal="center"/>
    </xf>
    <xf numFmtId="2" fontId="0" fillId="19" borderId="21" xfId="0" applyNumberFormat="1" applyFont="1" applyFill="1" applyBorder="1" applyAlignment="1">
      <alignment horizontal="center"/>
    </xf>
    <xf numFmtId="4" fontId="0" fillId="0" borderId="21" xfId="0" applyNumberFormat="1" applyFill="1" applyBorder="1" applyAlignment="1">
      <alignment horizontal="center"/>
    </xf>
    <xf numFmtId="4" fontId="0" fillId="37" borderId="21" xfId="0" applyNumberFormat="1" applyFill="1" applyBorder="1" applyAlignment="1">
      <alignment horizontal="center"/>
    </xf>
    <xf numFmtId="0" fontId="17" fillId="0" borderId="0" xfId="0" applyFont="1" applyBorder="1" applyAlignment="1">
      <alignment/>
    </xf>
    <xf numFmtId="2" fontId="101" fillId="36" borderId="0" xfId="0" applyNumberFormat="1" applyFont="1" applyFill="1" applyBorder="1" applyAlignment="1">
      <alignment horizontal="center"/>
    </xf>
    <xf numFmtId="0" fontId="0" fillId="0" borderId="39" xfId="0" applyFont="1" applyBorder="1" applyAlignment="1">
      <alignment horizontal="right"/>
    </xf>
    <xf numFmtId="0" fontId="0" fillId="0" borderId="26" xfId="0" applyFont="1" applyFill="1" applyBorder="1" applyAlignment="1">
      <alignment horizontal="center"/>
    </xf>
    <xf numFmtId="0" fontId="0" fillId="0" borderId="27" xfId="0" applyFont="1" applyBorder="1" applyAlignment="1">
      <alignment horizontal="center"/>
    </xf>
    <xf numFmtId="166" fontId="0" fillId="0" borderId="21" xfId="0" applyNumberFormat="1" applyBorder="1" applyAlignment="1">
      <alignment horizontal="center"/>
    </xf>
    <xf numFmtId="2" fontId="0" fillId="0" borderId="21" xfId="0" applyNumberFormat="1" applyFill="1" applyBorder="1" applyAlignment="1">
      <alignment horizontal="center"/>
    </xf>
    <xf numFmtId="1" fontId="25" fillId="0" borderId="17" xfId="0" applyNumberFormat="1" applyFont="1" applyBorder="1" applyAlignment="1">
      <alignment horizontal="center"/>
    </xf>
    <xf numFmtId="0" fontId="0" fillId="0" borderId="22" xfId="0" applyFont="1" applyBorder="1" applyAlignment="1">
      <alignment horizontal="center"/>
    </xf>
    <xf numFmtId="0" fontId="0" fillId="35" borderId="95" xfId="0" applyFont="1" applyFill="1" applyBorder="1" applyAlignment="1">
      <alignment horizontal="center"/>
    </xf>
    <xf numFmtId="0" fontId="0" fillId="35" borderId="100" xfId="0" applyFont="1" applyFill="1" applyBorder="1" applyAlignment="1">
      <alignment horizontal="center"/>
    </xf>
    <xf numFmtId="3" fontId="0" fillId="35" borderId="101" xfId="0" applyNumberFormat="1" applyFill="1" applyBorder="1" applyAlignment="1">
      <alignment horizontal="center"/>
    </xf>
    <xf numFmtId="0" fontId="0" fillId="0" borderId="43" xfId="0" applyFont="1" applyBorder="1" applyAlignment="1">
      <alignment horizontal="center"/>
    </xf>
    <xf numFmtId="0" fontId="0" fillId="0" borderId="44" xfId="0" applyFont="1" applyBorder="1" applyAlignment="1">
      <alignment horizontal="center"/>
    </xf>
    <xf numFmtId="3" fontId="0" fillId="0" borderId="58" xfId="0" applyNumberFormat="1" applyBorder="1" applyAlignment="1">
      <alignment horizontal="center"/>
    </xf>
    <xf numFmtId="0" fontId="0" fillId="0" borderId="58" xfId="0" applyBorder="1" applyAlignment="1">
      <alignment/>
    </xf>
    <xf numFmtId="1" fontId="0" fillId="0" borderId="21" xfId="0" applyNumberFormat="1" applyBorder="1" applyAlignment="1">
      <alignment horizontal="center"/>
    </xf>
    <xf numFmtId="0" fontId="10" fillId="0" borderId="94" xfId="0" applyFont="1" applyBorder="1" applyAlignment="1">
      <alignment horizontal="center" wrapText="1"/>
    </xf>
    <xf numFmtId="0" fontId="10" fillId="0" borderId="24" xfId="0" applyFont="1" applyBorder="1" applyAlignment="1">
      <alignment horizontal="center" wrapText="1"/>
    </xf>
    <xf numFmtId="1" fontId="0" fillId="0" borderId="21" xfId="0" applyNumberFormat="1" applyFill="1" applyBorder="1" applyAlignment="1">
      <alignment horizontal="center"/>
    </xf>
    <xf numFmtId="0" fontId="22" fillId="0" borderId="20" xfId="0" applyFont="1" applyBorder="1" applyAlignment="1">
      <alignment horizontal="center"/>
    </xf>
    <xf numFmtId="0" fontId="22" fillId="0" borderId="37" xfId="0" applyFont="1" applyBorder="1" applyAlignment="1">
      <alignment horizontal="center"/>
    </xf>
    <xf numFmtId="0" fontId="84" fillId="0" borderId="0" xfId="52" applyAlignment="1">
      <alignment/>
    </xf>
    <xf numFmtId="0" fontId="9" fillId="0" borderId="0" xfId="0" applyFont="1" applyAlignment="1">
      <alignment wrapText="1"/>
    </xf>
    <xf numFmtId="0" fontId="0" fillId="0" borderId="11" xfId="0" applyFont="1" applyFill="1" applyBorder="1" applyAlignment="1">
      <alignment horizontal="center"/>
    </xf>
    <xf numFmtId="1" fontId="0" fillId="0" borderId="10" xfId="0" applyNumberFormat="1" applyBorder="1" applyAlignment="1">
      <alignment/>
    </xf>
    <xf numFmtId="0" fontId="0" fillId="0" borderId="10" xfId="0" applyNumberFormat="1" applyBorder="1" applyAlignment="1">
      <alignment/>
    </xf>
    <xf numFmtId="1" fontId="0" fillId="0" borderId="0" xfId="0" applyNumberFormat="1" applyFont="1" applyBorder="1" applyAlignment="1">
      <alignment horizontal="right"/>
    </xf>
    <xf numFmtId="2" fontId="0" fillId="0" borderId="0" xfId="0" applyNumberFormat="1" applyFont="1" applyFill="1" applyAlignment="1">
      <alignment/>
    </xf>
    <xf numFmtId="2" fontId="0" fillId="0" borderId="0" xfId="0" applyNumberFormat="1" applyFont="1" applyAlignment="1">
      <alignment/>
    </xf>
    <xf numFmtId="0" fontId="2" fillId="0" borderId="24" xfId="0" applyFont="1" applyBorder="1" applyAlignment="1">
      <alignment/>
    </xf>
    <xf numFmtId="0" fontId="2" fillId="0" borderId="25" xfId="0" applyFont="1" applyBorder="1" applyAlignment="1">
      <alignment/>
    </xf>
    <xf numFmtId="0" fontId="102" fillId="0" borderId="0" xfId="0" applyFont="1" applyBorder="1" applyAlignment="1">
      <alignment horizontal="center"/>
    </xf>
    <xf numFmtId="166" fontId="23" fillId="0" borderId="0" xfId="0" applyNumberFormat="1" applyFont="1" applyBorder="1" applyAlignment="1">
      <alignment horizontal="center"/>
    </xf>
    <xf numFmtId="2" fontId="0" fillId="0" borderId="24" xfId="0" applyNumberFormat="1" applyFill="1" applyBorder="1" applyAlignment="1">
      <alignment horizontal="center"/>
    </xf>
    <xf numFmtId="0" fontId="0" fillId="0" borderId="21" xfId="0" applyFill="1" applyBorder="1" applyAlignment="1">
      <alignment horizontal="center"/>
    </xf>
    <xf numFmtId="0" fontId="0" fillId="0" borderId="21" xfId="0" applyFont="1" applyFill="1" applyBorder="1" applyAlignment="1">
      <alignment horizontal="center"/>
    </xf>
    <xf numFmtId="0" fontId="0" fillId="34" borderId="21" xfId="0" applyFont="1" applyFill="1" applyBorder="1" applyAlignment="1">
      <alignment horizontal="center"/>
    </xf>
    <xf numFmtId="0" fontId="0" fillId="0" borderId="21" xfId="0" applyFont="1" applyBorder="1" applyAlignment="1">
      <alignment horizontal="center"/>
    </xf>
    <xf numFmtId="0" fontId="0" fillId="0" borderId="20" xfId="0" applyBorder="1" applyAlignment="1">
      <alignment horizontal="center"/>
    </xf>
    <xf numFmtId="0" fontId="22" fillId="0" borderId="21" xfId="0" applyFont="1" applyBorder="1" applyAlignment="1">
      <alignment horizontal="center"/>
    </xf>
    <xf numFmtId="0" fontId="22" fillId="0" borderId="94" xfId="0" applyFont="1" applyBorder="1" applyAlignment="1">
      <alignment horizontal="center"/>
    </xf>
    <xf numFmtId="0" fontId="0" fillId="0" borderId="21" xfId="0" applyFont="1" applyFill="1" applyBorder="1" applyAlignment="1">
      <alignment horizontal="center"/>
    </xf>
    <xf numFmtId="0" fontId="0" fillId="0" borderId="94" xfId="0" applyFont="1" applyFill="1" applyBorder="1" applyAlignment="1">
      <alignment horizontal="center"/>
    </xf>
    <xf numFmtId="0" fontId="0" fillId="0" borderId="19" xfId="0" applyFill="1" applyBorder="1" applyAlignment="1">
      <alignment horizontal="center"/>
    </xf>
    <xf numFmtId="0" fontId="0" fillId="0" borderId="19" xfId="0" applyFont="1" applyFill="1" applyBorder="1" applyAlignment="1">
      <alignment horizontal="center"/>
    </xf>
    <xf numFmtId="0" fontId="0" fillId="0" borderId="26" xfId="0" applyBorder="1" applyAlignment="1">
      <alignment horizontal="center"/>
    </xf>
    <xf numFmtId="0" fontId="0" fillId="34" borderId="49" xfId="0" applyFont="1" applyFill="1" applyBorder="1" applyAlignment="1">
      <alignment horizontal="center"/>
    </xf>
    <xf numFmtId="0" fontId="0" fillId="0" borderId="24" xfId="0" applyBorder="1" applyAlignment="1">
      <alignment horizontal="center"/>
    </xf>
    <xf numFmtId="0" fontId="22" fillId="0" borderId="24" xfId="0" applyFont="1" applyBorder="1" applyAlignment="1">
      <alignment horizontal="center"/>
    </xf>
    <xf numFmtId="0" fontId="0" fillId="0" borderId="94" xfId="0" applyFill="1" applyBorder="1" applyAlignment="1">
      <alignment horizontal="center"/>
    </xf>
    <xf numFmtId="0" fontId="0" fillId="0" borderId="23" xfId="0" applyFill="1" applyBorder="1" applyAlignment="1">
      <alignment horizontal="center"/>
    </xf>
    <xf numFmtId="0" fontId="0" fillId="0" borderId="60" xfId="0" applyBorder="1" applyAlignment="1">
      <alignment horizontal="center"/>
    </xf>
    <xf numFmtId="0" fontId="0" fillId="0" borderId="65" xfId="0" applyBorder="1" applyAlignment="1">
      <alignment horizontal="center"/>
    </xf>
    <xf numFmtId="0" fontId="0" fillId="0" borderId="102" xfId="0" applyFont="1" applyBorder="1" applyAlignment="1">
      <alignment/>
    </xf>
    <xf numFmtId="0" fontId="0" fillId="0" borderId="56" xfId="0" applyBorder="1" applyAlignment="1">
      <alignment horizontal="center"/>
    </xf>
    <xf numFmtId="2" fontId="0" fillId="35" borderId="37" xfId="0" applyNumberFormat="1" applyFont="1" applyFill="1"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166" fontId="0" fillId="34" borderId="24" xfId="0" applyNumberFormat="1" applyFill="1" applyBorder="1" applyAlignment="1">
      <alignment horizontal="center"/>
    </xf>
    <xf numFmtId="4" fontId="0" fillId="0" borderId="24" xfId="0" applyNumberFormat="1" applyFill="1" applyBorder="1" applyAlignment="1">
      <alignment horizontal="center"/>
    </xf>
    <xf numFmtId="3" fontId="0" fillId="0" borderId="24" xfId="0" applyNumberFormat="1" applyBorder="1" applyAlignment="1">
      <alignment/>
    </xf>
    <xf numFmtId="3" fontId="0" fillId="0" borderId="103" xfId="0" applyNumberFormat="1" applyBorder="1" applyAlignment="1">
      <alignment horizontal="center"/>
    </xf>
    <xf numFmtId="0" fontId="0" fillId="0" borderId="54" xfId="0" applyBorder="1" applyAlignment="1">
      <alignment/>
    </xf>
    <xf numFmtId="0" fontId="0" fillId="0" borderId="94" xfId="0" applyFont="1" applyFill="1" applyBorder="1" applyAlignment="1">
      <alignment horizontal="center"/>
    </xf>
    <xf numFmtId="0" fontId="0" fillId="0" borderId="0" xfId="0" applyFont="1" applyFill="1" applyBorder="1" applyAlignment="1">
      <alignment horizontal="center"/>
    </xf>
    <xf numFmtId="0" fontId="0" fillId="0" borderId="49" xfId="0" applyBorder="1" applyAlignment="1">
      <alignment/>
    </xf>
    <xf numFmtId="0" fontId="0" fillId="0" borderId="18" xfId="0" applyFont="1" applyFill="1" applyBorder="1" applyAlignment="1">
      <alignment horizontal="center"/>
    </xf>
    <xf numFmtId="0" fontId="0" fillId="0" borderId="0" xfId="0" applyFont="1" applyBorder="1" applyAlignment="1">
      <alignment horizontal="center"/>
    </xf>
    <xf numFmtId="0" fontId="100" fillId="0" borderId="67" xfId="0" applyFont="1" applyBorder="1" applyAlignment="1">
      <alignment horizontal="center"/>
    </xf>
    <xf numFmtId="0" fontId="0" fillId="0" borderId="23" xfId="0" applyFont="1" applyFill="1" applyBorder="1" applyAlignment="1">
      <alignment horizontal="center"/>
    </xf>
    <xf numFmtId="3" fontId="0" fillId="0" borderId="21" xfId="0" applyNumberFormat="1" applyBorder="1" applyAlignment="1">
      <alignment horizontal="center"/>
    </xf>
    <xf numFmtId="0" fontId="2" fillId="0" borderId="0" xfId="0" applyFont="1" applyFill="1" applyBorder="1" applyAlignment="1">
      <alignment horizontal="center"/>
    </xf>
    <xf numFmtId="0" fontId="0" fillId="0" borderId="44" xfId="0" applyFont="1" applyBorder="1" applyAlignment="1">
      <alignment horizontal="center"/>
    </xf>
    <xf numFmtId="166" fontId="0" fillId="0" borderId="24" xfId="0" applyNumberFormat="1" applyBorder="1" applyAlignment="1">
      <alignment horizontal="center"/>
    </xf>
    <xf numFmtId="0" fontId="0" fillId="0" borderId="60" xfId="0" applyFont="1" applyBorder="1" applyAlignment="1">
      <alignment horizontal="center"/>
    </xf>
    <xf numFmtId="2" fontId="0" fillId="0" borderId="104" xfId="0" applyNumberFormat="1" applyFill="1" applyBorder="1" applyAlignment="1">
      <alignment horizontal="center"/>
    </xf>
    <xf numFmtId="0" fontId="0" fillId="0" borderId="105" xfId="0" applyFont="1" applyBorder="1" applyAlignment="1">
      <alignment horizontal="center"/>
    </xf>
    <xf numFmtId="2" fontId="0" fillId="0" borderId="101" xfId="0" applyNumberFormat="1" applyBorder="1" applyAlignment="1">
      <alignment horizontal="center"/>
    </xf>
    <xf numFmtId="2" fontId="0" fillId="0" borderId="106" xfId="0" applyNumberFormat="1" applyBorder="1" applyAlignment="1">
      <alignment horizontal="center"/>
    </xf>
    <xf numFmtId="2" fontId="0" fillId="0" borderId="106" xfId="0" applyNumberFormat="1" applyFill="1" applyBorder="1" applyAlignment="1">
      <alignment horizontal="center"/>
    </xf>
    <xf numFmtId="2" fontId="0" fillId="0" borderId="107" xfId="0" applyNumberFormat="1" applyBorder="1" applyAlignment="1">
      <alignment horizontal="center"/>
    </xf>
    <xf numFmtId="2" fontId="0" fillId="0" borderId="108" xfId="0" applyNumberFormat="1" applyBorder="1" applyAlignment="1">
      <alignment horizontal="center"/>
    </xf>
    <xf numFmtId="2" fontId="0" fillId="0" borderId="109" xfId="0" applyNumberFormat="1" applyBorder="1" applyAlignment="1">
      <alignment horizontal="center"/>
    </xf>
    <xf numFmtId="0" fontId="0" fillId="0" borderId="27" xfId="0" applyFont="1" applyFill="1" applyBorder="1" applyAlignment="1">
      <alignment horizontal="center"/>
    </xf>
    <xf numFmtId="0" fontId="0" fillId="0" borderId="93" xfId="0" applyFont="1" applyBorder="1" applyAlignment="1">
      <alignment horizontal="center"/>
    </xf>
    <xf numFmtId="1" fontId="0" fillId="0" borderId="19" xfId="0" applyNumberFormat="1" applyFont="1" applyBorder="1" applyAlignment="1">
      <alignment horizontal="center"/>
    </xf>
    <xf numFmtId="0" fontId="0" fillId="0" borderId="19" xfId="0" applyFont="1" applyBorder="1" applyAlignment="1">
      <alignment/>
    </xf>
    <xf numFmtId="164" fontId="0" fillId="0" borderId="104" xfId="0" applyNumberFormat="1" applyBorder="1" applyAlignment="1">
      <alignment horizontal="center"/>
    </xf>
    <xf numFmtId="0" fontId="0" fillId="0" borderId="100" xfId="0" applyFont="1" applyBorder="1" applyAlignment="1">
      <alignment horizontal="center"/>
    </xf>
    <xf numFmtId="4" fontId="0" fillId="0" borderId="19" xfId="0" applyNumberFormat="1" applyBorder="1" applyAlignment="1">
      <alignment horizontal="center"/>
    </xf>
    <xf numFmtId="4" fontId="0" fillId="0" borderId="18" xfId="0" applyNumberFormat="1" applyBorder="1" applyAlignment="1">
      <alignment horizontal="center"/>
    </xf>
    <xf numFmtId="4" fontId="0" fillId="0" borderId="110" xfId="0" applyNumberFormat="1" applyBorder="1" applyAlignment="1">
      <alignment horizontal="center"/>
    </xf>
    <xf numFmtId="4" fontId="0" fillId="0" borderId="58" xfId="0" applyNumberFormat="1" applyBorder="1" applyAlignment="1">
      <alignment horizontal="center"/>
    </xf>
    <xf numFmtId="171" fontId="23" fillId="0" borderId="0" xfId="0" applyNumberFormat="1" applyFont="1" applyBorder="1" applyAlignment="1">
      <alignment horizontal="center"/>
    </xf>
    <xf numFmtId="3" fontId="103" fillId="36" borderId="37" xfId="0" applyNumberFormat="1" applyFont="1" applyFill="1" applyBorder="1" applyAlignment="1">
      <alignment horizontal="center"/>
    </xf>
    <xf numFmtId="0" fontId="0" fillId="0" borderId="0" xfId="0" applyFont="1" applyBorder="1" applyAlignment="1">
      <alignment horizontal="left"/>
    </xf>
    <xf numFmtId="3" fontId="0" fillId="0" borderId="0" xfId="0" applyNumberFormat="1" applyAlignment="1">
      <alignment horizontal="center"/>
    </xf>
    <xf numFmtId="166" fontId="0" fillId="0" borderId="19" xfId="0" applyNumberFormat="1" applyFill="1" applyBorder="1" applyAlignment="1">
      <alignment horizontal="center"/>
    </xf>
    <xf numFmtId="0" fontId="0" fillId="35" borderId="100" xfId="0" applyFont="1" applyFill="1" applyBorder="1" applyAlignment="1">
      <alignment/>
    </xf>
    <xf numFmtId="0" fontId="0" fillId="0" borderId="0" xfId="0" applyFont="1" applyBorder="1" applyAlignment="1">
      <alignment horizontal="right"/>
    </xf>
    <xf numFmtId="0" fontId="0" fillId="0" borderId="26" xfId="0" applyFont="1" applyBorder="1" applyAlignment="1">
      <alignment horizontal="center"/>
    </xf>
    <xf numFmtId="3" fontId="0" fillId="0" borderId="49" xfId="0" applyNumberFormat="1" applyBorder="1" applyAlignment="1">
      <alignment horizontal="center"/>
    </xf>
    <xf numFmtId="2" fontId="0" fillId="0" borderId="110" xfId="0" applyNumberFormat="1" applyBorder="1" applyAlignment="1">
      <alignment horizontal="center"/>
    </xf>
    <xf numFmtId="3" fontId="0" fillId="0" borderId="0" xfId="0" applyNumberFormat="1" applyFill="1" applyBorder="1" applyAlignment="1">
      <alignment horizontal="center"/>
    </xf>
    <xf numFmtId="0" fontId="0" fillId="0" borderId="0" xfId="0" applyFont="1" applyFill="1" applyBorder="1" applyAlignment="1">
      <alignment/>
    </xf>
    <xf numFmtId="2" fontId="0" fillId="0" borderId="0" xfId="0" applyNumberFormat="1" applyFill="1" applyBorder="1" applyAlignment="1">
      <alignment horizontal="center"/>
    </xf>
    <xf numFmtId="171" fontId="0" fillId="0" borderId="21" xfId="0" applyNumberForma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2" fillId="0" borderId="94" xfId="0" applyFont="1" applyBorder="1" applyAlignment="1">
      <alignment horizontal="center"/>
    </xf>
    <xf numFmtId="0" fontId="0" fillId="0" borderId="18" xfId="0" applyFill="1" applyBorder="1" applyAlignment="1">
      <alignment horizontal="center"/>
    </xf>
    <xf numFmtId="164" fontId="0" fillId="0" borderId="21" xfId="0" applyNumberFormat="1" applyFill="1" applyBorder="1" applyAlignment="1">
      <alignment horizontal="center"/>
    </xf>
    <xf numFmtId="0" fontId="100" fillId="0" borderId="42" xfId="0" applyFont="1" applyFill="1" applyBorder="1" applyAlignment="1">
      <alignment horizontal="center"/>
    </xf>
    <xf numFmtId="164" fontId="0" fillId="0" borderId="0" xfId="0" applyNumberFormat="1" applyFill="1" applyBorder="1" applyAlignment="1">
      <alignment horizontal="center"/>
    </xf>
    <xf numFmtId="166" fontId="0" fillId="35" borderId="0" xfId="0" applyNumberFormat="1" applyFill="1" applyBorder="1" applyAlignment="1">
      <alignment horizontal="center"/>
    </xf>
    <xf numFmtId="0" fontId="0" fillId="0" borderId="27" xfId="0" applyBorder="1" applyAlignment="1">
      <alignment horizontal="center"/>
    </xf>
    <xf numFmtId="0" fontId="0" fillId="0" borderId="25" xfId="0" applyFont="1" applyFill="1" applyBorder="1" applyAlignment="1">
      <alignment horizontal="center"/>
    </xf>
    <xf numFmtId="0" fontId="0" fillId="0" borderId="18" xfId="0" applyFont="1" applyFill="1" applyBorder="1" applyAlignment="1">
      <alignment horizontal="center"/>
    </xf>
    <xf numFmtId="0" fontId="0" fillId="0" borderId="25" xfId="0" applyBorder="1" applyAlignment="1">
      <alignment horizontal="center"/>
    </xf>
    <xf numFmtId="164" fontId="0" fillId="0" borderId="0" xfId="0" applyNumberFormat="1" applyFont="1" applyFill="1" applyBorder="1" applyAlignment="1">
      <alignment horizontal="center"/>
    </xf>
    <xf numFmtId="0" fontId="0" fillId="0" borderId="62" xfId="0" applyFont="1" applyBorder="1" applyAlignment="1">
      <alignment horizontal="center"/>
    </xf>
    <xf numFmtId="0" fontId="0" fillId="0" borderId="36" xfId="0" applyFont="1" applyBorder="1" applyAlignment="1">
      <alignment/>
    </xf>
    <xf numFmtId="0" fontId="0" fillId="0" borderId="100" xfId="0" applyFont="1" applyBorder="1" applyAlignment="1">
      <alignment/>
    </xf>
    <xf numFmtId="164" fontId="0" fillId="0" borderId="101" xfId="0" applyNumberFormat="1" applyFont="1" applyFill="1" applyBorder="1" applyAlignment="1">
      <alignment horizontal="center"/>
    </xf>
    <xf numFmtId="0" fontId="0" fillId="0" borderId="111" xfId="0" applyBorder="1" applyAlignment="1">
      <alignment/>
    </xf>
    <xf numFmtId="0" fontId="0" fillId="0" borderId="112" xfId="0" applyFont="1" applyBorder="1" applyAlignment="1">
      <alignment horizontal="center"/>
    </xf>
    <xf numFmtId="0" fontId="0" fillId="0" borderId="101" xfId="0" applyFont="1" applyBorder="1" applyAlignment="1">
      <alignment/>
    </xf>
    <xf numFmtId="0" fontId="0" fillId="0" borderId="113" xfId="0" applyFont="1" applyBorder="1" applyAlignment="1">
      <alignment/>
    </xf>
    <xf numFmtId="0" fontId="94" fillId="0" borderId="45" xfId="0" applyFont="1" applyBorder="1" applyAlignment="1">
      <alignment horizontal="left"/>
    </xf>
    <xf numFmtId="0" fontId="94" fillId="0" borderId="77" xfId="0" applyFont="1" applyBorder="1" applyAlignment="1">
      <alignment/>
    </xf>
    <xf numFmtId="0" fontId="94" fillId="0" borderId="78" xfId="0" applyFont="1" applyBorder="1" applyAlignment="1">
      <alignment/>
    </xf>
    <xf numFmtId="0" fontId="94" fillId="0" borderId="0" xfId="0" applyFont="1" applyAlignment="1">
      <alignment/>
    </xf>
    <xf numFmtId="0" fontId="94" fillId="0" borderId="45" xfId="0" applyFont="1" applyFill="1" applyBorder="1" applyAlignment="1">
      <alignment horizontal="left"/>
    </xf>
    <xf numFmtId="164" fontId="0" fillId="0" borderId="114" xfId="0" applyNumberFormat="1" applyFont="1" applyFill="1" applyBorder="1" applyAlignment="1">
      <alignment horizontal="center"/>
    </xf>
    <xf numFmtId="0" fontId="22" fillId="0" borderId="49" xfId="0" applyFont="1" applyBorder="1" applyAlignment="1">
      <alignment horizontal="center"/>
    </xf>
    <xf numFmtId="1" fontId="0" fillId="0" borderId="19" xfId="0" applyNumberFormat="1" applyBorder="1" applyAlignment="1">
      <alignment horizontal="center"/>
    </xf>
    <xf numFmtId="0" fontId="22" fillId="0" borderId="25" xfId="0" applyFont="1" applyBorder="1" applyAlignment="1">
      <alignment horizontal="center"/>
    </xf>
    <xf numFmtId="0" fontId="0" fillId="0" borderId="115" xfId="0" applyFont="1" applyBorder="1" applyAlignment="1">
      <alignment horizontal="center"/>
    </xf>
    <xf numFmtId="0" fontId="0" fillId="0" borderId="116" xfId="0" applyFont="1" applyBorder="1" applyAlignment="1">
      <alignment horizontal="center"/>
    </xf>
    <xf numFmtId="1" fontId="0" fillId="0" borderId="23" xfId="0" applyNumberFormat="1" applyBorder="1" applyAlignment="1">
      <alignment horizontal="center"/>
    </xf>
    <xf numFmtId="0" fontId="104" fillId="0" borderId="0" xfId="0" applyFont="1" applyAlignment="1">
      <alignment/>
    </xf>
    <xf numFmtId="2" fontId="0" fillId="0" borderId="37" xfId="0" applyNumberFormat="1" applyBorder="1" applyAlignment="1">
      <alignment horizontal="center"/>
    </xf>
    <xf numFmtId="0" fontId="41" fillId="0" borderId="26" xfId="0" applyFont="1" applyBorder="1" applyAlignment="1">
      <alignment/>
    </xf>
    <xf numFmtId="0" fontId="41" fillId="0" borderId="28" xfId="0" applyFont="1" applyBorder="1" applyAlignment="1">
      <alignment/>
    </xf>
    <xf numFmtId="0" fontId="0" fillId="0" borderId="36" xfId="0" applyFont="1" applyBorder="1" applyAlignment="1">
      <alignment horizontal="center"/>
    </xf>
    <xf numFmtId="0" fontId="23" fillId="0" borderId="27" xfId="0" applyFont="1" applyFill="1" applyBorder="1" applyAlignment="1">
      <alignment/>
    </xf>
    <xf numFmtId="0" fontId="23" fillId="0" borderId="28" xfId="0" applyFont="1" applyFill="1" applyBorder="1" applyAlignment="1">
      <alignment/>
    </xf>
    <xf numFmtId="166" fontId="0" fillId="0" borderId="21" xfId="0" applyNumberFormat="1" applyFill="1" applyBorder="1" applyAlignment="1">
      <alignment horizontal="center"/>
    </xf>
    <xf numFmtId="164" fontId="0" fillId="0" borderId="36" xfId="0" applyNumberFormat="1" applyFont="1" applyFill="1" applyBorder="1" applyAlignment="1">
      <alignment horizontal="center"/>
    </xf>
    <xf numFmtId="1" fontId="0" fillId="0" borderId="0" xfId="0" applyNumberFormat="1" applyFill="1" applyBorder="1" applyAlignment="1">
      <alignment horizontal="center"/>
    </xf>
    <xf numFmtId="166" fontId="0" fillId="0" borderId="37" xfId="0" applyNumberFormat="1" applyFill="1" applyBorder="1" applyAlignment="1">
      <alignment horizontal="center"/>
    </xf>
    <xf numFmtId="164" fontId="0" fillId="0" borderId="21" xfId="0" applyNumberFormat="1" applyFont="1" applyBorder="1" applyAlignment="1">
      <alignment horizontal="center"/>
    </xf>
    <xf numFmtId="3" fontId="0" fillId="0" borderId="21" xfId="0" applyNumberFormat="1" applyFont="1" applyBorder="1" applyAlignment="1">
      <alignment/>
    </xf>
    <xf numFmtId="0" fontId="2" fillId="0" borderId="0" xfId="0" applyFont="1" applyBorder="1" applyAlignment="1">
      <alignment horizontal="right"/>
    </xf>
    <xf numFmtId="0" fontId="2" fillId="0" borderId="0" xfId="0" applyFont="1" applyAlignment="1">
      <alignment horizontal="center"/>
    </xf>
    <xf numFmtId="0" fontId="2" fillId="0" borderId="0" xfId="0" applyFont="1" applyBorder="1" applyAlignment="1">
      <alignment/>
    </xf>
    <xf numFmtId="0" fontId="2" fillId="0" borderId="0" xfId="0" applyFont="1" applyBorder="1" applyAlignment="1">
      <alignment horizontal="center"/>
    </xf>
    <xf numFmtId="0" fontId="49" fillId="0" borderId="0" xfId="0" applyFont="1" applyBorder="1" applyAlignment="1">
      <alignment/>
    </xf>
    <xf numFmtId="0" fontId="49" fillId="0" borderId="0" xfId="0" applyFont="1" applyFill="1" applyBorder="1" applyAlignment="1">
      <alignment/>
    </xf>
    <xf numFmtId="2" fontId="2" fillId="0" borderId="0" xfId="0" applyNumberFormat="1" applyFont="1" applyFill="1" applyBorder="1" applyAlignment="1">
      <alignment horizontal="center"/>
    </xf>
    <xf numFmtId="0" fontId="2" fillId="0" borderId="0" xfId="0" applyFont="1" applyFill="1" applyBorder="1" applyAlignment="1">
      <alignment/>
    </xf>
    <xf numFmtId="2" fontId="0" fillId="0" borderId="101" xfId="0" applyNumberFormat="1" applyFill="1" applyBorder="1" applyAlignment="1">
      <alignment horizontal="center"/>
    </xf>
    <xf numFmtId="0" fontId="0" fillId="0" borderId="117" xfId="0" applyFont="1" applyFill="1" applyBorder="1" applyAlignment="1">
      <alignment/>
    </xf>
    <xf numFmtId="0" fontId="0" fillId="0" borderId="118" xfId="0" applyBorder="1" applyAlignment="1">
      <alignment/>
    </xf>
    <xf numFmtId="3" fontId="0" fillId="38" borderId="0" xfId="0" applyNumberFormat="1" applyFill="1" applyBorder="1" applyAlignment="1">
      <alignment horizontal="center"/>
    </xf>
    <xf numFmtId="0" fontId="0" fillId="38" borderId="38" xfId="0" applyFill="1" applyBorder="1" applyAlignment="1">
      <alignment/>
    </xf>
    <xf numFmtId="0" fontId="0" fillId="38" borderId="39" xfId="0" applyFont="1" applyFill="1" applyBorder="1" applyAlignment="1">
      <alignment/>
    </xf>
    <xf numFmtId="0" fontId="0" fillId="38" borderId="40" xfId="0" applyFill="1" applyBorder="1" applyAlignment="1">
      <alignment/>
    </xf>
    <xf numFmtId="0" fontId="0" fillId="38" borderId="41" xfId="0" applyFill="1" applyBorder="1" applyAlignment="1">
      <alignment/>
    </xf>
    <xf numFmtId="0" fontId="0" fillId="38" borderId="0" xfId="0" applyFill="1" applyBorder="1" applyAlignment="1">
      <alignment horizontal="center"/>
    </xf>
    <xf numFmtId="0" fontId="0" fillId="38" borderId="42" xfId="0" applyFill="1" applyBorder="1" applyAlignment="1">
      <alignment/>
    </xf>
    <xf numFmtId="0" fontId="0" fillId="38" borderId="119" xfId="0" applyFill="1" applyBorder="1" applyAlignment="1">
      <alignment horizontal="center"/>
    </xf>
    <xf numFmtId="3" fontId="0" fillId="38" borderId="21" xfId="0" applyNumberFormat="1" applyFill="1" applyBorder="1" applyAlignment="1">
      <alignment horizontal="center"/>
    </xf>
    <xf numFmtId="0" fontId="0" fillId="38" borderId="120" xfId="0" applyFill="1" applyBorder="1" applyAlignment="1">
      <alignment horizontal="center"/>
    </xf>
    <xf numFmtId="3" fontId="0" fillId="38" borderId="24" xfId="0" applyNumberFormat="1" applyFill="1" applyBorder="1" applyAlignment="1">
      <alignment horizontal="center"/>
    </xf>
    <xf numFmtId="0" fontId="0" fillId="38" borderId="121" xfId="0" applyFont="1" applyFill="1" applyBorder="1" applyAlignment="1">
      <alignment horizontal="center"/>
    </xf>
    <xf numFmtId="3" fontId="0" fillId="38" borderId="122" xfId="0" applyNumberFormat="1" applyFill="1" applyBorder="1" applyAlignment="1">
      <alignment horizontal="center"/>
    </xf>
    <xf numFmtId="0" fontId="0" fillId="38" borderId="123" xfId="0" applyFont="1" applyFill="1" applyBorder="1" applyAlignment="1">
      <alignment horizontal="center"/>
    </xf>
    <xf numFmtId="3" fontId="0" fillId="0" borderId="37" xfId="0" applyNumberFormat="1" applyBorder="1" applyAlignment="1">
      <alignment horizontal="center"/>
    </xf>
    <xf numFmtId="4" fontId="0" fillId="0" borderId="25" xfId="0" applyNumberFormat="1" applyBorder="1" applyAlignment="1">
      <alignment horizontal="center"/>
    </xf>
    <xf numFmtId="4" fontId="0" fillId="0" borderId="19" xfId="0" applyNumberFormat="1" applyFill="1" applyBorder="1" applyAlignment="1">
      <alignment horizontal="center"/>
    </xf>
    <xf numFmtId="164" fontId="0" fillId="0" borderId="20" xfId="0" applyNumberFormat="1" applyBorder="1" applyAlignment="1">
      <alignment horizontal="center"/>
    </xf>
    <xf numFmtId="2" fontId="0" fillId="0" borderId="19" xfId="0" applyNumberFormat="1" applyBorder="1" applyAlignment="1">
      <alignment horizontal="center"/>
    </xf>
    <xf numFmtId="166" fontId="0" fillId="0" borderId="19" xfId="0" applyNumberFormat="1" applyBorder="1" applyAlignment="1">
      <alignment horizontal="center"/>
    </xf>
    <xf numFmtId="166" fontId="0" fillId="0" borderId="18" xfId="0" applyNumberFormat="1" applyBorder="1" applyAlignment="1">
      <alignment horizontal="center"/>
    </xf>
    <xf numFmtId="2" fontId="0" fillId="39" borderId="0" xfId="0" applyNumberFormat="1" applyFill="1" applyBorder="1" applyAlignment="1">
      <alignment horizontal="center"/>
    </xf>
    <xf numFmtId="4" fontId="0" fillId="39" borderId="101" xfId="0" applyNumberFormat="1" applyFill="1" applyBorder="1" applyAlignment="1">
      <alignment horizontal="center"/>
    </xf>
    <xf numFmtId="0" fontId="0" fillId="0" borderId="124" xfId="0" applyFont="1" applyBorder="1" applyAlignment="1">
      <alignment horizontal="center"/>
    </xf>
    <xf numFmtId="3" fontId="0" fillId="0" borderId="26" xfId="0" applyNumberFormat="1" applyFont="1" applyBorder="1" applyAlignment="1">
      <alignment horizontal="center"/>
    </xf>
    <xf numFmtId="3" fontId="0" fillId="0" borderId="24" xfId="0" applyNumberFormat="1" applyFont="1" applyBorder="1" applyAlignment="1">
      <alignment horizontal="center"/>
    </xf>
    <xf numFmtId="3" fontId="0" fillId="0" borderId="19" xfId="0" applyNumberFormat="1" applyBorder="1" applyAlignment="1">
      <alignment/>
    </xf>
    <xf numFmtId="4" fontId="0" fillId="0" borderId="36" xfId="0" applyNumberFormat="1" applyBorder="1" applyAlignment="1">
      <alignment horizontal="center"/>
    </xf>
    <xf numFmtId="4" fontId="0" fillId="0" borderId="0" xfId="0" applyNumberFormat="1" applyAlignment="1">
      <alignment horizontal="center"/>
    </xf>
    <xf numFmtId="0" fontId="0" fillId="39" borderId="125" xfId="0" applyFont="1" applyFill="1" applyBorder="1" applyAlignment="1">
      <alignment horizontal="center"/>
    </xf>
    <xf numFmtId="4" fontId="0" fillId="39" borderId="126" xfId="0" applyNumberFormat="1" applyFill="1" applyBorder="1" applyAlignment="1">
      <alignment horizontal="center"/>
    </xf>
    <xf numFmtId="0" fontId="0" fillId="39" borderId="127" xfId="0" applyFont="1" applyFill="1" applyBorder="1" applyAlignment="1">
      <alignment horizontal="center"/>
    </xf>
    <xf numFmtId="0" fontId="0" fillId="39" borderId="39" xfId="0" applyFill="1" applyBorder="1" applyAlignment="1">
      <alignment/>
    </xf>
    <xf numFmtId="0" fontId="0" fillId="39" borderId="66" xfId="0" applyFont="1" applyFill="1" applyBorder="1" applyAlignment="1">
      <alignment horizontal="center"/>
    </xf>
    <xf numFmtId="2" fontId="0" fillId="39" borderId="67" xfId="0" applyNumberFormat="1" applyFill="1" applyBorder="1" applyAlignment="1">
      <alignment horizontal="center"/>
    </xf>
    <xf numFmtId="0" fontId="0" fillId="39" borderId="40" xfId="0" applyFill="1" applyBorder="1" applyAlignment="1">
      <alignment/>
    </xf>
    <xf numFmtId="0" fontId="0" fillId="39" borderId="68" xfId="0" applyFont="1" applyFill="1" applyBorder="1" applyAlignment="1">
      <alignment horizontal="center"/>
    </xf>
    <xf numFmtId="0" fontId="0" fillId="39" borderId="38" xfId="0" applyFont="1" applyFill="1" applyBorder="1" applyAlignment="1">
      <alignment horizontal="left"/>
    </xf>
    <xf numFmtId="0" fontId="0" fillId="0" borderId="24" xfId="0" applyFill="1" applyBorder="1" applyAlignment="1">
      <alignment horizontal="center"/>
    </xf>
    <xf numFmtId="0" fontId="0" fillId="12" borderId="125" xfId="0" applyFont="1" applyFill="1" applyBorder="1" applyAlignment="1">
      <alignment horizontal="center"/>
    </xf>
    <xf numFmtId="3" fontId="0" fillId="12" borderId="126" xfId="0" applyNumberFormat="1" applyFill="1" applyBorder="1" applyAlignment="1">
      <alignment horizontal="center"/>
    </xf>
    <xf numFmtId="0" fontId="0" fillId="12" borderId="127" xfId="0" applyFont="1" applyFill="1" applyBorder="1" applyAlignment="1">
      <alignment/>
    </xf>
    <xf numFmtId="0" fontId="0" fillId="0" borderId="78" xfId="0" applyFont="1" applyFill="1" applyBorder="1" applyAlignment="1">
      <alignment/>
    </xf>
    <xf numFmtId="164" fontId="0" fillId="0" borderId="0" xfId="0" applyNumberFormat="1" applyAlignment="1">
      <alignment horizontal="center"/>
    </xf>
    <xf numFmtId="0" fontId="0" fillId="0" borderId="21" xfId="0" applyFont="1" applyFill="1" applyBorder="1" applyAlignment="1">
      <alignment horizontal="center"/>
    </xf>
    <xf numFmtId="0" fontId="2" fillId="0" borderId="18" xfId="0" applyFont="1" applyBorder="1" applyAlignment="1">
      <alignment horizontal="center"/>
    </xf>
    <xf numFmtId="0" fontId="2" fillId="0" borderId="36" xfId="0" applyFont="1" applyBorder="1" applyAlignment="1">
      <alignment/>
    </xf>
    <xf numFmtId="0" fontId="2" fillId="0" borderId="26" xfId="0" applyFont="1" applyBorder="1" applyAlignment="1">
      <alignment/>
    </xf>
    <xf numFmtId="0" fontId="2" fillId="0" borderId="22" xfId="0" applyFont="1" applyBorder="1" applyAlignment="1">
      <alignment horizontal="center"/>
    </xf>
    <xf numFmtId="0" fontId="2" fillId="0" borderId="27" xfId="0" applyFont="1" applyBorder="1" applyAlignment="1">
      <alignment/>
    </xf>
    <xf numFmtId="0" fontId="2" fillId="0" borderId="18" xfId="0" applyFont="1" applyFill="1" applyBorder="1" applyAlignment="1">
      <alignment horizontal="center"/>
    </xf>
    <xf numFmtId="0" fontId="2" fillId="0" borderId="25" xfId="0" applyFont="1" applyFill="1" applyBorder="1" applyAlignment="1">
      <alignment horizontal="center"/>
    </xf>
    <xf numFmtId="0" fontId="2" fillId="0" borderId="21" xfId="0" applyFont="1" applyFill="1" applyBorder="1" applyAlignment="1">
      <alignment horizontal="center"/>
    </xf>
    <xf numFmtId="0" fontId="2" fillId="0" borderId="21" xfId="0" applyFont="1" applyBorder="1" applyAlignment="1">
      <alignment horizontal="center"/>
    </xf>
    <xf numFmtId="0" fontId="2" fillId="0" borderId="22" xfId="0" applyFont="1" applyBorder="1" applyAlignment="1">
      <alignment/>
    </xf>
    <xf numFmtId="0" fontId="2" fillId="0" borderId="22" xfId="0" applyFont="1" applyFill="1" applyBorder="1" applyAlignment="1">
      <alignment horizontal="left"/>
    </xf>
    <xf numFmtId="0" fontId="2" fillId="0" borderId="23" xfId="0" applyFont="1" applyBorder="1" applyAlignment="1">
      <alignment horizontal="center"/>
    </xf>
    <xf numFmtId="0" fontId="2" fillId="0" borderId="37" xfId="0" applyFont="1" applyBorder="1" applyAlignment="1">
      <alignment horizontal="center"/>
    </xf>
    <xf numFmtId="0" fontId="2" fillId="0" borderId="37" xfId="0" applyFont="1" applyBorder="1" applyAlignment="1">
      <alignment/>
    </xf>
    <xf numFmtId="0" fontId="2" fillId="0" borderId="28" xfId="0" applyFont="1" applyBorder="1" applyAlignment="1">
      <alignment/>
    </xf>
    <xf numFmtId="164" fontId="0" fillId="35" borderId="37" xfId="0" applyNumberFormat="1" applyFill="1" applyBorder="1" applyAlignment="1">
      <alignment horizontal="center"/>
    </xf>
    <xf numFmtId="0" fontId="0" fillId="0" borderId="26" xfId="0" applyFill="1" applyBorder="1" applyAlignment="1">
      <alignment horizontal="center"/>
    </xf>
    <xf numFmtId="0" fontId="4" fillId="0" borderId="0" xfId="0" applyFont="1" applyFill="1" applyBorder="1" applyAlignment="1">
      <alignment/>
    </xf>
    <xf numFmtId="0" fontId="97" fillId="0" borderId="0" xfId="0" applyFont="1" applyBorder="1" applyAlignment="1">
      <alignment/>
    </xf>
    <xf numFmtId="0" fontId="0" fillId="18" borderId="0" xfId="0" applyFont="1" applyFill="1" applyBorder="1" applyAlignment="1">
      <alignment/>
    </xf>
    <xf numFmtId="0" fontId="0" fillId="18" borderId="0" xfId="0" applyFill="1" applyAlignment="1">
      <alignment/>
    </xf>
    <xf numFmtId="0" fontId="0" fillId="18" borderId="0" xfId="0" applyFont="1" applyFill="1" applyBorder="1" applyAlignment="1">
      <alignment horizontal="center"/>
    </xf>
    <xf numFmtId="166" fontId="101" fillId="18" borderId="0" xfId="0" applyNumberFormat="1" applyFont="1" applyFill="1" applyBorder="1" applyAlignment="1">
      <alignment horizontal="center"/>
    </xf>
    <xf numFmtId="0" fontId="6" fillId="18" borderId="0" xfId="0" applyFont="1" applyFill="1" applyBorder="1" applyAlignment="1">
      <alignment/>
    </xf>
    <xf numFmtId="1" fontId="0" fillId="0" borderId="0" xfId="0" applyNumberFormat="1" applyAlignment="1">
      <alignment/>
    </xf>
    <xf numFmtId="0" fontId="0" fillId="0" borderId="19" xfId="0" applyFont="1" applyBorder="1" applyAlignment="1">
      <alignment horizontal="center"/>
    </xf>
    <xf numFmtId="0" fontId="0" fillId="0" borderId="36" xfId="0" applyFont="1" applyBorder="1" applyAlignment="1">
      <alignment horizontal="center"/>
    </xf>
    <xf numFmtId="0" fontId="0" fillId="0" borderId="49" xfId="0" applyFont="1" applyBorder="1" applyAlignment="1">
      <alignment horizontal="center"/>
    </xf>
    <xf numFmtId="0" fontId="12" fillId="0" borderId="115" xfId="0" applyFont="1" applyBorder="1" applyAlignment="1">
      <alignment horizontal="center"/>
    </xf>
    <xf numFmtId="0" fontId="0" fillId="0" borderId="128" xfId="0" applyFont="1" applyBorder="1" applyAlignment="1">
      <alignment horizontal="center"/>
    </xf>
    <xf numFmtId="0" fontId="100" fillId="0" borderId="0" xfId="0" applyFont="1" applyAlignment="1">
      <alignment horizontal="right"/>
    </xf>
    <xf numFmtId="0" fontId="12" fillId="0" borderId="0" xfId="0" applyFont="1" applyFill="1" applyBorder="1" applyAlignment="1">
      <alignment horizontal="left"/>
    </xf>
    <xf numFmtId="0" fontId="12" fillId="0" borderId="0" xfId="0" applyFont="1" applyAlignment="1">
      <alignment/>
    </xf>
    <xf numFmtId="0" fontId="12" fillId="0" borderId="0" xfId="0" applyFont="1" applyFill="1" applyBorder="1" applyAlignment="1">
      <alignment/>
    </xf>
    <xf numFmtId="0" fontId="12" fillId="0" borderId="0" xfId="0" applyFont="1" applyBorder="1" applyAlignment="1">
      <alignment/>
    </xf>
    <xf numFmtId="0" fontId="12" fillId="0" borderId="0" xfId="0" applyFont="1" applyFill="1" applyBorder="1" applyAlignment="1">
      <alignment horizontal="center"/>
    </xf>
    <xf numFmtId="0" fontId="12" fillId="0" borderId="0" xfId="0" applyFont="1" applyBorder="1" applyAlignment="1">
      <alignment horizontal="center"/>
    </xf>
    <xf numFmtId="0" fontId="23" fillId="0" borderId="129" xfId="0" applyFont="1" applyBorder="1" applyAlignment="1">
      <alignment horizontal="center"/>
    </xf>
    <xf numFmtId="0" fontId="23" fillId="0" borderId="94" xfId="0" applyFont="1" applyBorder="1" applyAlignment="1">
      <alignment horizontal="center"/>
    </xf>
    <xf numFmtId="0" fontId="23" fillId="0" borderId="57" xfId="0" applyFont="1" applyBorder="1" applyAlignment="1">
      <alignment horizontal="center"/>
    </xf>
    <xf numFmtId="0" fontId="23" fillId="0" borderId="111" xfId="0" applyFont="1" applyFill="1" applyBorder="1" applyAlignment="1">
      <alignment horizontal="center"/>
    </xf>
    <xf numFmtId="0" fontId="23" fillId="0" borderId="25" xfId="0" applyFont="1" applyFill="1" applyBorder="1" applyAlignment="1">
      <alignment horizontal="center"/>
    </xf>
    <xf numFmtId="0" fontId="23" fillId="0" borderId="102" xfId="0" applyFont="1" applyFill="1" applyBorder="1" applyAlignment="1">
      <alignment horizontal="center"/>
    </xf>
    <xf numFmtId="0" fontId="12" fillId="0" borderId="19" xfId="0" applyFont="1" applyFill="1" applyBorder="1" applyAlignment="1">
      <alignment horizontal="center"/>
    </xf>
    <xf numFmtId="0" fontId="12" fillId="0" borderId="49" xfId="0" applyFont="1" applyBorder="1" applyAlignment="1">
      <alignment horizontal="center"/>
    </xf>
    <xf numFmtId="0" fontId="0" fillId="0" borderId="130" xfId="0" applyFont="1" applyBorder="1" applyAlignment="1">
      <alignment/>
    </xf>
    <xf numFmtId="0" fontId="0" fillId="0" borderId="65" xfId="0" applyFont="1" applyBorder="1" applyAlignment="1">
      <alignment horizontal="center"/>
    </xf>
    <xf numFmtId="0" fontId="0" fillId="0" borderId="52" xfId="0" applyBorder="1" applyAlignment="1">
      <alignment/>
    </xf>
    <xf numFmtId="0" fontId="0" fillId="0" borderId="106" xfId="0" applyBorder="1" applyAlignment="1">
      <alignment/>
    </xf>
    <xf numFmtId="0" fontId="0" fillId="0" borderId="116" xfId="0" applyBorder="1" applyAlignment="1">
      <alignment/>
    </xf>
    <xf numFmtId="0" fontId="23" fillId="0" borderId="20" xfId="0" applyFont="1" applyBorder="1" applyAlignment="1">
      <alignment horizontal="center"/>
    </xf>
    <xf numFmtId="0" fontId="23" fillId="0" borderId="50" xfId="0" applyFont="1" applyBorder="1" applyAlignment="1">
      <alignment/>
    </xf>
    <xf numFmtId="0" fontId="23" fillId="0" borderId="60" xfId="0" applyFont="1" applyFill="1" applyBorder="1" applyAlignment="1">
      <alignment horizontal="center"/>
    </xf>
    <xf numFmtId="0" fontId="0" fillId="0" borderId="56" xfId="0" applyBorder="1" applyAlignment="1">
      <alignment/>
    </xf>
    <xf numFmtId="0" fontId="0" fillId="0" borderId="131" xfId="0" applyBorder="1" applyAlignment="1">
      <alignment/>
    </xf>
    <xf numFmtId="0" fontId="0" fillId="0" borderId="47" xfId="0" applyBorder="1" applyAlignment="1">
      <alignment/>
    </xf>
    <xf numFmtId="0" fontId="23" fillId="0" borderId="111" xfId="0" applyFont="1" applyBorder="1" applyAlignment="1">
      <alignment horizontal="center"/>
    </xf>
    <xf numFmtId="0" fontId="0" fillId="0" borderId="25" xfId="0" applyFill="1" applyBorder="1" applyAlignment="1">
      <alignment horizontal="center"/>
    </xf>
    <xf numFmtId="0" fontId="104" fillId="0" borderId="0" xfId="0" applyFont="1" applyBorder="1" applyAlignment="1">
      <alignment/>
    </xf>
    <xf numFmtId="166" fontId="0" fillId="0" borderId="0" xfId="0" applyNumberFormat="1" applyFill="1" applyBorder="1" applyAlignment="1">
      <alignment horizontal="center"/>
    </xf>
    <xf numFmtId="166" fontId="0" fillId="0" borderId="19" xfId="0" applyNumberFormat="1" applyFont="1" applyBorder="1" applyAlignment="1">
      <alignment horizontal="center"/>
    </xf>
    <xf numFmtId="1" fontId="0" fillId="0" borderId="26" xfId="0" applyNumberFormat="1" applyBorder="1" applyAlignment="1">
      <alignment horizontal="center"/>
    </xf>
    <xf numFmtId="0" fontId="23" fillId="0" borderId="45" xfId="0" applyFont="1" applyFill="1" applyBorder="1" applyAlignment="1">
      <alignment horizontal="center"/>
    </xf>
    <xf numFmtId="0" fontId="23" fillId="0" borderId="105" xfId="0" applyFont="1" applyFill="1" applyBorder="1" applyAlignment="1">
      <alignment horizontal="center"/>
    </xf>
    <xf numFmtId="0" fontId="0" fillId="38" borderId="19" xfId="0" applyFont="1" applyFill="1" applyBorder="1" applyAlignment="1">
      <alignment horizontal="center"/>
    </xf>
    <xf numFmtId="3" fontId="0" fillId="38" borderId="20" xfId="0" applyNumberFormat="1" applyFill="1" applyBorder="1" applyAlignment="1">
      <alignment horizontal="center"/>
    </xf>
    <xf numFmtId="0" fontId="0" fillId="38" borderId="49" xfId="0" applyFont="1" applyFill="1" applyBorder="1" applyAlignment="1">
      <alignment/>
    </xf>
    <xf numFmtId="3" fontId="23" fillId="0" borderId="37" xfId="0" applyNumberFormat="1" applyFont="1" applyFill="1" applyBorder="1" applyAlignment="1">
      <alignment horizontal="center"/>
    </xf>
    <xf numFmtId="3" fontId="103" fillId="36" borderId="0" xfId="0" applyNumberFormat="1" applyFont="1" applyFill="1" applyBorder="1" applyAlignment="1">
      <alignment horizontal="center"/>
    </xf>
    <xf numFmtId="0" fontId="0" fillId="0" borderId="0" xfId="0" applyAlignment="1">
      <alignment horizontal="center"/>
    </xf>
    <xf numFmtId="0" fontId="0" fillId="0" borderId="18" xfId="0" applyFont="1" applyBorder="1" applyAlignment="1">
      <alignment horizontal="center"/>
    </xf>
    <xf numFmtId="0" fontId="0" fillId="0" borderId="36" xfId="0" applyFont="1" applyBorder="1" applyAlignment="1">
      <alignment horizontal="center"/>
    </xf>
    <xf numFmtId="0" fontId="0" fillId="0" borderId="22" xfId="0" applyFont="1" applyBorder="1" applyAlignment="1">
      <alignment horizontal="center"/>
    </xf>
    <xf numFmtId="0" fontId="0" fillId="0" borderId="0" xfId="0" applyFont="1" applyBorder="1" applyAlignment="1">
      <alignment horizontal="center"/>
    </xf>
    <xf numFmtId="0" fontId="94" fillId="0" borderId="19" xfId="0" applyFont="1" applyBorder="1" applyAlignment="1">
      <alignment horizontal="center"/>
    </xf>
    <xf numFmtId="0" fontId="94" fillId="0" borderId="20" xfId="0" applyFont="1" applyBorder="1" applyAlignment="1">
      <alignment horizontal="center"/>
    </xf>
    <xf numFmtId="0" fontId="94" fillId="0" borderId="49" xfId="0" applyFont="1" applyBorder="1" applyAlignment="1">
      <alignment horizontal="center"/>
    </xf>
    <xf numFmtId="0" fontId="3" fillId="0" borderId="0" xfId="0" applyFont="1" applyBorder="1" applyAlignment="1">
      <alignment wrapText="1"/>
    </xf>
    <xf numFmtId="0" fontId="10" fillId="0" borderId="0" xfId="0" applyFont="1" applyBorder="1" applyAlignment="1">
      <alignment wrapText="1"/>
    </xf>
    <xf numFmtId="0" fontId="0" fillId="0" borderId="0" xfId="0" applyFont="1" applyBorder="1" applyAlignment="1">
      <alignment wrapText="1"/>
    </xf>
    <xf numFmtId="0" fontId="0" fillId="0" borderId="0" xfId="0" applyBorder="1" applyAlignment="1">
      <alignment wrapText="1"/>
    </xf>
    <xf numFmtId="0" fontId="0" fillId="0" borderId="20" xfId="0" applyFont="1" applyBorder="1" applyAlignment="1">
      <alignment horizontal="center"/>
    </xf>
    <xf numFmtId="0" fontId="0" fillId="0" borderId="82" xfId="0" applyBorder="1" applyAlignment="1">
      <alignment wrapText="1"/>
    </xf>
    <xf numFmtId="0" fontId="23" fillId="0" borderId="132" xfId="0" applyFont="1" applyBorder="1" applyAlignment="1">
      <alignment horizontal="center" vertical="center"/>
    </xf>
    <xf numFmtId="0" fontId="23" fillId="0" borderId="86" xfId="0" applyFont="1" applyBorder="1" applyAlignment="1">
      <alignment horizontal="center" vertical="center"/>
    </xf>
    <xf numFmtId="0" fontId="0" fillId="0" borderId="55" xfId="0" applyFont="1" applyBorder="1" applyAlignment="1">
      <alignment horizontal="center"/>
    </xf>
    <xf numFmtId="0" fontId="0" fillId="0" borderId="131" xfId="0" applyFont="1" applyBorder="1" applyAlignment="1">
      <alignment horizontal="center"/>
    </xf>
    <xf numFmtId="0" fontId="14" fillId="0" borderId="35" xfId="0" applyFont="1" applyBorder="1" applyAlignment="1">
      <alignment horizontal="right"/>
    </xf>
    <xf numFmtId="0" fontId="14" fillId="0" borderId="17" xfId="0" applyFont="1" applyBorder="1" applyAlignment="1">
      <alignment/>
    </xf>
    <xf numFmtId="0" fontId="0" fillId="0" borderId="0" xfId="0" applyAlignment="1">
      <alignment wrapText="1"/>
    </xf>
    <xf numFmtId="0" fontId="0" fillId="0" borderId="0" xfId="0" applyFont="1" applyAlignment="1">
      <alignment wrapText="1"/>
    </xf>
    <xf numFmtId="0" fontId="10" fillId="0" borderId="0" xfId="0" applyFont="1" applyAlignment="1">
      <alignment wrapText="1"/>
    </xf>
    <xf numFmtId="0" fontId="9" fillId="0" borderId="0" xfId="0" applyFont="1" applyAlignment="1">
      <alignment wrapText="1"/>
    </xf>
    <xf numFmtId="0" fontId="3" fillId="0" borderId="0" xfId="0" applyFont="1" applyAlignment="1">
      <alignment wrapText="1"/>
    </xf>
    <xf numFmtId="1" fontId="0" fillId="34" borderId="21" xfId="0" applyNumberFormat="1" applyFill="1" applyBorder="1" applyAlignment="1">
      <alignment horizontal="center"/>
    </xf>
    <xf numFmtId="166" fontId="0" fillId="18" borderId="0" xfId="0" applyNumberFormat="1"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4">
    <dxf>
      <font>
        <color indexed="10"/>
      </font>
    </dxf>
    <dxf>
      <font>
        <color auto="1"/>
      </font>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9.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6.emf" /><Relationship Id="rId4" Type="http://schemas.openxmlformats.org/officeDocument/2006/relationships/image" Target="../media/image7.emf" /><Relationship Id="rId5" Type="http://schemas.openxmlformats.org/officeDocument/2006/relationships/image" Target="../media/image8.emf" /><Relationship Id="rId6"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180975</xdr:colOff>
      <xdr:row>4</xdr:row>
      <xdr:rowOff>0</xdr:rowOff>
    </xdr:from>
    <xdr:to>
      <xdr:col>17</xdr:col>
      <xdr:colOff>723900</xdr:colOff>
      <xdr:row>4</xdr:row>
      <xdr:rowOff>0</xdr:rowOff>
    </xdr:to>
    <xdr:sp>
      <xdr:nvSpPr>
        <xdr:cNvPr id="1" name="Line 3"/>
        <xdr:cNvSpPr>
          <a:spLocks/>
        </xdr:cNvSpPr>
      </xdr:nvSpPr>
      <xdr:spPr>
        <a:xfrm>
          <a:off x="12115800" y="666750"/>
          <a:ext cx="542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200025</xdr:colOff>
      <xdr:row>6</xdr:row>
      <xdr:rowOff>0</xdr:rowOff>
    </xdr:from>
    <xdr:to>
      <xdr:col>17</xdr:col>
      <xdr:colOff>723900</xdr:colOff>
      <xdr:row>6</xdr:row>
      <xdr:rowOff>0</xdr:rowOff>
    </xdr:to>
    <xdr:sp>
      <xdr:nvSpPr>
        <xdr:cNvPr id="2" name="Line 4"/>
        <xdr:cNvSpPr>
          <a:spLocks/>
        </xdr:cNvSpPr>
      </xdr:nvSpPr>
      <xdr:spPr>
        <a:xfrm>
          <a:off x="12134850" y="1019175"/>
          <a:ext cx="523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342900</xdr:colOff>
      <xdr:row>5</xdr:row>
      <xdr:rowOff>0</xdr:rowOff>
    </xdr:from>
    <xdr:to>
      <xdr:col>20</xdr:col>
      <xdr:colOff>295275</xdr:colOff>
      <xdr:row>5</xdr:row>
      <xdr:rowOff>0</xdr:rowOff>
    </xdr:to>
    <xdr:sp>
      <xdr:nvSpPr>
        <xdr:cNvPr id="3" name="Line 8"/>
        <xdr:cNvSpPr>
          <a:spLocks/>
        </xdr:cNvSpPr>
      </xdr:nvSpPr>
      <xdr:spPr>
        <a:xfrm>
          <a:off x="14020800" y="847725"/>
          <a:ext cx="790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9525</xdr:colOff>
      <xdr:row>3</xdr:row>
      <xdr:rowOff>19050</xdr:rowOff>
    </xdr:from>
    <xdr:to>
      <xdr:col>19</xdr:col>
      <xdr:colOff>400050</xdr:colOff>
      <xdr:row>6</xdr:row>
      <xdr:rowOff>76200</xdr:rowOff>
    </xdr:to>
    <xdr:sp>
      <xdr:nvSpPr>
        <xdr:cNvPr id="4" name="Rectangle 1"/>
        <xdr:cNvSpPr>
          <a:spLocks/>
        </xdr:cNvSpPr>
      </xdr:nvSpPr>
      <xdr:spPr>
        <a:xfrm>
          <a:off x="12963525" y="523875"/>
          <a:ext cx="1114425" cy="571500"/>
        </a:xfrm>
        <a:prstGeom prst="rect">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Combustion
</a:t>
          </a:r>
          <a:r>
            <a:rPr lang="en-US" cap="none" sz="1000" b="1" i="0" u="none" baseline="0">
              <a:solidFill>
                <a:srgbClr val="000000"/>
              </a:solidFill>
              <a:latin typeface="Arial"/>
              <a:ea typeface="Arial"/>
              <a:cs typeface="Arial"/>
            </a:rPr>
            <a:t>Process</a:t>
          </a:r>
        </a:p>
      </xdr:txBody>
    </xdr:sp>
    <xdr:clientData/>
  </xdr:twoCellAnchor>
  <xdr:twoCellAnchor>
    <xdr:from>
      <xdr:col>16</xdr:col>
      <xdr:colOff>647700</xdr:colOff>
      <xdr:row>3</xdr:row>
      <xdr:rowOff>9525</xdr:rowOff>
    </xdr:from>
    <xdr:to>
      <xdr:col>18</xdr:col>
      <xdr:colOff>419100</xdr:colOff>
      <xdr:row>4</xdr:row>
      <xdr:rowOff>19050</xdr:rowOff>
    </xdr:to>
    <xdr:sp>
      <xdr:nvSpPr>
        <xdr:cNvPr id="5" name="Text Box 5"/>
        <xdr:cNvSpPr txBox="1">
          <a:spLocks noChangeArrowheads="1"/>
        </xdr:cNvSpPr>
      </xdr:nvSpPr>
      <xdr:spPr>
        <a:xfrm>
          <a:off x="11877675" y="514350"/>
          <a:ext cx="1495425" cy="171450"/>
        </a:xfrm>
        <a:prstGeom prst="rect">
          <a:avLst/>
        </a:prstGeom>
        <a:noFill/>
        <a:ln w="9525" cmpd="sng">
          <a:noFill/>
        </a:ln>
      </xdr:spPr>
      <xdr:txBody>
        <a:bodyPr vertOverflow="clip" wrap="square" lIns="27432" tIns="18288" rIns="0" bIns="0"/>
        <a:p>
          <a:pPr algn="l">
            <a:defRPr/>
          </a:pPr>
          <a:r>
            <a:rPr lang="en-US" cap="none" sz="800" b="0" i="0" u="sng" baseline="0">
              <a:solidFill>
                <a:srgbClr val="000000"/>
              </a:solidFill>
              <a:latin typeface="Arial"/>
              <a:ea typeface="Arial"/>
              <a:cs typeface="Arial"/>
            </a:rPr>
            <a:t>Fuel Mixture</a:t>
          </a:r>
        </a:p>
      </xdr:txBody>
    </xdr:sp>
    <xdr:clientData/>
  </xdr:twoCellAnchor>
  <xdr:oneCellAnchor>
    <xdr:from>
      <xdr:col>17</xdr:col>
      <xdr:colOff>152400</xdr:colOff>
      <xdr:row>5</xdr:row>
      <xdr:rowOff>0</xdr:rowOff>
    </xdr:from>
    <xdr:ext cx="142875" cy="171450"/>
    <xdr:sp>
      <xdr:nvSpPr>
        <xdr:cNvPr id="6" name="Text Box 6"/>
        <xdr:cNvSpPr txBox="1">
          <a:spLocks noChangeArrowheads="1"/>
        </xdr:cNvSpPr>
      </xdr:nvSpPr>
      <xdr:spPr>
        <a:xfrm>
          <a:off x="12087225" y="847725"/>
          <a:ext cx="142875" cy="171450"/>
        </a:xfrm>
        <a:prstGeom prst="rect">
          <a:avLst/>
        </a:prstGeom>
        <a:noFill/>
        <a:ln w="9525" cmpd="sng">
          <a:noFill/>
        </a:ln>
      </xdr:spPr>
      <xdr:txBody>
        <a:bodyPr vertOverflow="clip" wrap="square" lIns="18288" tIns="18288" rIns="0" bIns="0">
          <a:spAutoFit/>
        </a:bodyPr>
        <a:p>
          <a:pPr algn="l">
            <a:defRPr/>
          </a:pPr>
          <a:r>
            <a:rPr lang="en-US" cap="none" sz="800" b="0" i="0" u="sng" baseline="0">
              <a:solidFill>
                <a:srgbClr val="000000"/>
              </a:solidFill>
              <a:latin typeface="Arial"/>
              <a:ea typeface="Arial"/>
              <a:cs typeface="Arial"/>
            </a:rPr>
            <a:t>Air</a:t>
          </a:r>
        </a:p>
      </xdr:txBody>
    </xdr:sp>
    <xdr:clientData/>
  </xdr:oneCellAnchor>
  <xdr:oneCellAnchor>
    <xdr:from>
      <xdr:col>17</xdr:col>
      <xdr:colOff>28575</xdr:colOff>
      <xdr:row>6</xdr:row>
      <xdr:rowOff>9525</xdr:rowOff>
    </xdr:from>
    <xdr:ext cx="581025" cy="171450"/>
    <xdr:sp>
      <xdr:nvSpPr>
        <xdr:cNvPr id="7" name="Text Box 9"/>
        <xdr:cNvSpPr txBox="1">
          <a:spLocks noChangeArrowheads="1"/>
        </xdr:cNvSpPr>
      </xdr:nvSpPr>
      <xdr:spPr>
        <a:xfrm>
          <a:off x="11963400" y="1028700"/>
          <a:ext cx="581025" cy="1714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Arial"/>
              <a:ea typeface="Arial"/>
              <a:cs typeface="Arial"/>
            </a:rPr>
            <a:t>with excess</a:t>
          </a:r>
        </a:p>
      </xdr:txBody>
    </xdr:sp>
    <xdr:clientData/>
  </xdr:oneCellAnchor>
  <xdr:oneCellAnchor>
    <xdr:from>
      <xdr:col>19</xdr:col>
      <xdr:colOff>581025</xdr:colOff>
      <xdr:row>3</xdr:row>
      <xdr:rowOff>104775</xdr:rowOff>
    </xdr:from>
    <xdr:ext cx="609600" cy="323850"/>
    <xdr:sp>
      <xdr:nvSpPr>
        <xdr:cNvPr id="8" name="Text Box 10"/>
        <xdr:cNvSpPr txBox="1">
          <a:spLocks noChangeArrowheads="1"/>
        </xdr:cNvSpPr>
      </xdr:nvSpPr>
      <xdr:spPr>
        <a:xfrm>
          <a:off x="14258925" y="609600"/>
          <a:ext cx="609600" cy="323850"/>
        </a:xfrm>
        <a:prstGeom prst="rect">
          <a:avLst/>
        </a:prstGeom>
        <a:noFill/>
        <a:ln w="9525" cmpd="sng">
          <a:noFill/>
        </a:ln>
      </xdr:spPr>
      <xdr:txBody>
        <a:bodyPr vertOverflow="clip" wrap="square" lIns="18288" tIns="18288" rIns="0" bIns="0">
          <a:spAutoFit/>
        </a:bodyPr>
        <a:p>
          <a:pPr algn="l">
            <a:defRPr/>
          </a:pPr>
          <a:r>
            <a:rPr lang="en-US" cap="none" sz="800" b="0" i="0" u="sng" baseline="0">
              <a:solidFill>
                <a:srgbClr val="000000"/>
              </a:solidFill>
              <a:latin typeface="Arial"/>
              <a:ea typeface="Arial"/>
              <a:cs typeface="Arial"/>
            </a:rPr>
            <a:t>Combustion</a:t>
          </a:r>
          <a:r>
            <a:rPr lang="en-US" cap="none" sz="800" b="0" i="0" u="none" baseline="0">
              <a:solidFill>
                <a:srgbClr val="000000"/>
              </a:solidFill>
              <a:latin typeface="Arial"/>
              <a:ea typeface="Arial"/>
              <a:cs typeface="Arial"/>
            </a:rPr>
            <a:t>
</a:t>
          </a:r>
          <a:r>
            <a:rPr lang="en-US" cap="none" sz="800" b="0" i="0" u="sng" baseline="0">
              <a:solidFill>
                <a:srgbClr val="000000"/>
              </a:solidFill>
              <a:latin typeface="Arial"/>
              <a:ea typeface="Arial"/>
              <a:cs typeface="Arial"/>
            </a:rPr>
            <a:t>Products</a:t>
          </a:r>
        </a:p>
      </xdr:txBody>
    </xdr:sp>
    <xdr:clientData/>
  </xdr:oneCellAnchor>
  <xdr:twoCellAnchor>
    <xdr:from>
      <xdr:col>7</xdr:col>
      <xdr:colOff>342900</xdr:colOff>
      <xdr:row>73</xdr:row>
      <xdr:rowOff>38100</xdr:rowOff>
    </xdr:from>
    <xdr:to>
      <xdr:col>7</xdr:col>
      <xdr:colOff>457200</xdr:colOff>
      <xdr:row>73</xdr:row>
      <xdr:rowOff>38100</xdr:rowOff>
    </xdr:to>
    <xdr:sp>
      <xdr:nvSpPr>
        <xdr:cNvPr id="9" name="Straight Connector 33"/>
        <xdr:cNvSpPr>
          <a:spLocks/>
        </xdr:cNvSpPr>
      </xdr:nvSpPr>
      <xdr:spPr>
        <a:xfrm>
          <a:off x="4629150" y="14030325"/>
          <a:ext cx="114300" cy="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419100</xdr:colOff>
      <xdr:row>71</xdr:row>
      <xdr:rowOff>76200</xdr:rowOff>
    </xdr:from>
    <xdr:to>
      <xdr:col>8</xdr:col>
      <xdr:colOff>542925</xdr:colOff>
      <xdr:row>71</xdr:row>
      <xdr:rowOff>76200</xdr:rowOff>
    </xdr:to>
    <xdr:sp>
      <xdr:nvSpPr>
        <xdr:cNvPr id="10" name="Straight Connector 34"/>
        <xdr:cNvSpPr>
          <a:spLocks/>
        </xdr:cNvSpPr>
      </xdr:nvSpPr>
      <xdr:spPr>
        <a:xfrm>
          <a:off x="5572125" y="13582650"/>
          <a:ext cx="123825" cy="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323850</xdr:colOff>
      <xdr:row>63</xdr:row>
      <xdr:rowOff>57150</xdr:rowOff>
    </xdr:from>
    <xdr:to>
      <xdr:col>7</xdr:col>
      <xdr:colOff>447675</xdr:colOff>
      <xdr:row>63</xdr:row>
      <xdr:rowOff>57150</xdr:rowOff>
    </xdr:to>
    <xdr:sp>
      <xdr:nvSpPr>
        <xdr:cNvPr id="11" name="Straight Connector 35"/>
        <xdr:cNvSpPr>
          <a:spLocks/>
        </xdr:cNvSpPr>
      </xdr:nvSpPr>
      <xdr:spPr>
        <a:xfrm>
          <a:off x="4610100" y="12039600"/>
          <a:ext cx="123825" cy="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276225</xdr:colOff>
      <xdr:row>68</xdr:row>
      <xdr:rowOff>28575</xdr:rowOff>
    </xdr:from>
    <xdr:to>
      <xdr:col>7</xdr:col>
      <xdr:colOff>390525</xdr:colOff>
      <xdr:row>68</xdr:row>
      <xdr:rowOff>28575</xdr:rowOff>
    </xdr:to>
    <xdr:sp>
      <xdr:nvSpPr>
        <xdr:cNvPr id="12" name="Straight Connector 36"/>
        <xdr:cNvSpPr>
          <a:spLocks/>
        </xdr:cNvSpPr>
      </xdr:nvSpPr>
      <xdr:spPr>
        <a:xfrm>
          <a:off x="4562475" y="13011150"/>
          <a:ext cx="114300" cy="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609600</xdr:colOff>
      <xdr:row>59</xdr:row>
      <xdr:rowOff>9525</xdr:rowOff>
    </xdr:from>
    <xdr:to>
      <xdr:col>13</xdr:col>
      <xdr:colOff>95250</xdr:colOff>
      <xdr:row>59</xdr:row>
      <xdr:rowOff>219075</xdr:rowOff>
    </xdr:to>
    <xdr:sp>
      <xdr:nvSpPr>
        <xdr:cNvPr id="13" name="TextBox 37"/>
        <xdr:cNvSpPr txBox="1">
          <a:spLocks noChangeArrowheads="1"/>
        </xdr:cNvSpPr>
      </xdr:nvSpPr>
      <xdr:spPr>
        <a:xfrm>
          <a:off x="9163050" y="11096625"/>
          <a:ext cx="95250" cy="2095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a:t>
          </a:r>
        </a:p>
      </xdr:txBody>
    </xdr:sp>
    <xdr:clientData/>
  </xdr:twoCellAnchor>
  <xdr:twoCellAnchor>
    <xdr:from>
      <xdr:col>12</xdr:col>
      <xdr:colOff>609600</xdr:colOff>
      <xdr:row>57</xdr:row>
      <xdr:rowOff>19050</xdr:rowOff>
    </xdr:from>
    <xdr:to>
      <xdr:col>13</xdr:col>
      <xdr:colOff>95250</xdr:colOff>
      <xdr:row>57</xdr:row>
      <xdr:rowOff>247650</xdr:rowOff>
    </xdr:to>
    <xdr:sp>
      <xdr:nvSpPr>
        <xdr:cNvPr id="14" name="TextBox 38"/>
        <xdr:cNvSpPr txBox="1">
          <a:spLocks noChangeArrowheads="1"/>
        </xdr:cNvSpPr>
      </xdr:nvSpPr>
      <xdr:spPr>
        <a:xfrm>
          <a:off x="9163050" y="10610850"/>
          <a:ext cx="95250" cy="228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a:t>
          </a:r>
        </a:p>
      </xdr:txBody>
    </xdr:sp>
    <xdr:clientData/>
  </xdr:twoCellAnchor>
  <xdr:twoCellAnchor>
    <xdr:from>
      <xdr:col>16</xdr:col>
      <xdr:colOff>180975</xdr:colOff>
      <xdr:row>138</xdr:row>
      <xdr:rowOff>28575</xdr:rowOff>
    </xdr:from>
    <xdr:to>
      <xdr:col>16</xdr:col>
      <xdr:colOff>457200</xdr:colOff>
      <xdr:row>138</xdr:row>
      <xdr:rowOff>28575</xdr:rowOff>
    </xdr:to>
    <xdr:sp>
      <xdr:nvSpPr>
        <xdr:cNvPr id="15" name="Straight Connector 10"/>
        <xdr:cNvSpPr>
          <a:spLocks/>
        </xdr:cNvSpPr>
      </xdr:nvSpPr>
      <xdr:spPr>
        <a:xfrm>
          <a:off x="11410950" y="26136600"/>
          <a:ext cx="276225" cy="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18</xdr:col>
      <xdr:colOff>19050</xdr:colOff>
      <xdr:row>138</xdr:row>
      <xdr:rowOff>28575</xdr:rowOff>
    </xdr:from>
    <xdr:to>
      <xdr:col>18</xdr:col>
      <xdr:colOff>295275</xdr:colOff>
      <xdr:row>138</xdr:row>
      <xdr:rowOff>28575</xdr:rowOff>
    </xdr:to>
    <xdr:sp>
      <xdr:nvSpPr>
        <xdr:cNvPr id="16" name="Straight Connector 40"/>
        <xdr:cNvSpPr>
          <a:spLocks/>
        </xdr:cNvSpPr>
      </xdr:nvSpPr>
      <xdr:spPr>
        <a:xfrm>
          <a:off x="12973050" y="26136600"/>
          <a:ext cx="276225" cy="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295275</xdr:colOff>
      <xdr:row>151</xdr:row>
      <xdr:rowOff>28575</xdr:rowOff>
    </xdr:from>
    <xdr:to>
      <xdr:col>17</xdr:col>
      <xdr:colOff>571500</xdr:colOff>
      <xdr:row>151</xdr:row>
      <xdr:rowOff>28575</xdr:rowOff>
    </xdr:to>
    <xdr:sp>
      <xdr:nvSpPr>
        <xdr:cNvPr id="17" name="Straight Connector 42"/>
        <xdr:cNvSpPr>
          <a:spLocks/>
        </xdr:cNvSpPr>
      </xdr:nvSpPr>
      <xdr:spPr>
        <a:xfrm>
          <a:off x="12230100" y="28946475"/>
          <a:ext cx="276225" cy="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114300</xdr:colOff>
      <xdr:row>157</xdr:row>
      <xdr:rowOff>28575</xdr:rowOff>
    </xdr:from>
    <xdr:to>
      <xdr:col>14</xdr:col>
      <xdr:colOff>390525</xdr:colOff>
      <xdr:row>157</xdr:row>
      <xdr:rowOff>28575</xdr:rowOff>
    </xdr:to>
    <xdr:sp>
      <xdr:nvSpPr>
        <xdr:cNvPr id="18" name="Straight Connector 44"/>
        <xdr:cNvSpPr>
          <a:spLocks/>
        </xdr:cNvSpPr>
      </xdr:nvSpPr>
      <xdr:spPr>
        <a:xfrm>
          <a:off x="9991725" y="30222825"/>
          <a:ext cx="276225" cy="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133350</xdr:colOff>
      <xdr:row>167</xdr:row>
      <xdr:rowOff>38100</xdr:rowOff>
    </xdr:from>
    <xdr:to>
      <xdr:col>14</xdr:col>
      <xdr:colOff>390525</xdr:colOff>
      <xdr:row>167</xdr:row>
      <xdr:rowOff>38100</xdr:rowOff>
    </xdr:to>
    <xdr:sp>
      <xdr:nvSpPr>
        <xdr:cNvPr id="19" name="Straight Connector 46"/>
        <xdr:cNvSpPr>
          <a:spLocks/>
        </xdr:cNvSpPr>
      </xdr:nvSpPr>
      <xdr:spPr>
        <a:xfrm>
          <a:off x="10010775" y="32308800"/>
          <a:ext cx="257175" cy="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114300</xdr:colOff>
      <xdr:row>156</xdr:row>
      <xdr:rowOff>9525</xdr:rowOff>
    </xdr:from>
    <xdr:to>
      <xdr:col>15</xdr:col>
      <xdr:colOff>390525</xdr:colOff>
      <xdr:row>156</xdr:row>
      <xdr:rowOff>9525</xdr:rowOff>
    </xdr:to>
    <xdr:sp>
      <xdr:nvSpPr>
        <xdr:cNvPr id="20" name="Straight Connector 47"/>
        <xdr:cNvSpPr>
          <a:spLocks/>
        </xdr:cNvSpPr>
      </xdr:nvSpPr>
      <xdr:spPr>
        <a:xfrm>
          <a:off x="10668000" y="30003750"/>
          <a:ext cx="276225" cy="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123825</xdr:colOff>
      <xdr:row>166</xdr:row>
      <xdr:rowOff>19050</xdr:rowOff>
    </xdr:from>
    <xdr:to>
      <xdr:col>14</xdr:col>
      <xdr:colOff>381000</xdr:colOff>
      <xdr:row>166</xdr:row>
      <xdr:rowOff>19050</xdr:rowOff>
    </xdr:to>
    <xdr:sp>
      <xdr:nvSpPr>
        <xdr:cNvPr id="21" name="Straight Connector 48"/>
        <xdr:cNvSpPr>
          <a:spLocks/>
        </xdr:cNvSpPr>
      </xdr:nvSpPr>
      <xdr:spPr>
        <a:xfrm>
          <a:off x="10001250" y="32070675"/>
          <a:ext cx="257175" cy="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171450</xdr:colOff>
      <xdr:row>168</xdr:row>
      <xdr:rowOff>28575</xdr:rowOff>
    </xdr:from>
    <xdr:to>
      <xdr:col>14</xdr:col>
      <xdr:colOff>447675</xdr:colOff>
      <xdr:row>168</xdr:row>
      <xdr:rowOff>28575</xdr:rowOff>
    </xdr:to>
    <xdr:sp>
      <xdr:nvSpPr>
        <xdr:cNvPr id="22" name="Straight Connector 49"/>
        <xdr:cNvSpPr>
          <a:spLocks/>
        </xdr:cNvSpPr>
      </xdr:nvSpPr>
      <xdr:spPr>
        <a:xfrm>
          <a:off x="10048875" y="32508825"/>
          <a:ext cx="276225" cy="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704850</xdr:colOff>
      <xdr:row>14</xdr:row>
      <xdr:rowOff>9525</xdr:rowOff>
    </xdr:from>
    <xdr:to>
      <xdr:col>10</xdr:col>
      <xdr:colOff>104775</xdr:colOff>
      <xdr:row>15</xdr:row>
      <xdr:rowOff>19050</xdr:rowOff>
    </xdr:to>
    <xdr:sp>
      <xdr:nvSpPr>
        <xdr:cNvPr id="23" name="TextBox 9"/>
        <xdr:cNvSpPr txBox="1">
          <a:spLocks noChangeArrowheads="1"/>
        </xdr:cNvSpPr>
      </xdr:nvSpPr>
      <xdr:spPr>
        <a:xfrm>
          <a:off x="6686550" y="2638425"/>
          <a:ext cx="495300"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Note 1</a:t>
          </a:r>
        </a:p>
      </xdr:txBody>
    </xdr:sp>
    <xdr:clientData/>
  </xdr:twoCellAnchor>
  <xdr:twoCellAnchor>
    <xdr:from>
      <xdr:col>8</xdr:col>
      <xdr:colOff>590550</xdr:colOff>
      <xdr:row>136</xdr:row>
      <xdr:rowOff>161925</xdr:rowOff>
    </xdr:from>
    <xdr:to>
      <xdr:col>8</xdr:col>
      <xdr:colOff>800100</xdr:colOff>
      <xdr:row>138</xdr:row>
      <xdr:rowOff>76200</xdr:rowOff>
    </xdr:to>
    <xdr:sp>
      <xdr:nvSpPr>
        <xdr:cNvPr id="24" name="TextBox 13"/>
        <xdr:cNvSpPr txBox="1">
          <a:spLocks noChangeArrowheads="1"/>
        </xdr:cNvSpPr>
      </xdr:nvSpPr>
      <xdr:spPr>
        <a:xfrm>
          <a:off x="5743575" y="25898475"/>
          <a:ext cx="209550" cy="285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K</a:t>
          </a:r>
        </a:p>
      </xdr:txBody>
    </xdr:sp>
    <xdr:clientData/>
  </xdr:twoCellAnchor>
  <xdr:twoCellAnchor>
    <xdr:from>
      <xdr:col>7</xdr:col>
      <xdr:colOff>790575</xdr:colOff>
      <xdr:row>136</xdr:row>
      <xdr:rowOff>161925</xdr:rowOff>
    </xdr:from>
    <xdr:to>
      <xdr:col>8</xdr:col>
      <xdr:colOff>390525</xdr:colOff>
      <xdr:row>138</xdr:row>
      <xdr:rowOff>123825</xdr:rowOff>
    </xdr:to>
    <xdr:sp>
      <xdr:nvSpPr>
        <xdr:cNvPr id="25" name="TextBox 63"/>
        <xdr:cNvSpPr txBox="1">
          <a:spLocks noChangeArrowheads="1"/>
        </xdr:cNvSpPr>
      </xdr:nvSpPr>
      <xdr:spPr>
        <a:xfrm>
          <a:off x="5076825" y="25898475"/>
          <a:ext cx="466725" cy="3333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Symbol"/>
              <a:ea typeface="Symbol"/>
              <a:cs typeface="Symbol"/>
            </a:rPr>
            <a:t>D</a:t>
          </a:r>
          <a:r>
            <a:rPr lang="en-US" cap="none" sz="1100" b="0" i="0" u="none" baseline="0">
              <a:solidFill>
                <a:srgbClr val="000000"/>
              </a:solidFill>
              <a:latin typeface="Calibri"/>
              <a:ea typeface="Calibri"/>
              <a:cs typeface="Calibri"/>
            </a:rPr>
            <a:t>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13</xdr:row>
      <xdr:rowOff>0</xdr:rowOff>
    </xdr:from>
    <xdr:to>
      <xdr:col>3</xdr:col>
      <xdr:colOff>609600</xdr:colOff>
      <xdr:row>13</xdr:row>
      <xdr:rowOff>0</xdr:rowOff>
    </xdr:to>
    <xdr:sp>
      <xdr:nvSpPr>
        <xdr:cNvPr id="1" name="Line 3"/>
        <xdr:cNvSpPr>
          <a:spLocks/>
        </xdr:cNvSpPr>
      </xdr:nvSpPr>
      <xdr:spPr>
        <a:xfrm>
          <a:off x="1857375" y="2190750"/>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15</xdr:row>
      <xdr:rowOff>0</xdr:rowOff>
    </xdr:from>
    <xdr:to>
      <xdr:col>3</xdr:col>
      <xdr:colOff>609600</xdr:colOff>
      <xdr:row>15</xdr:row>
      <xdr:rowOff>0</xdr:rowOff>
    </xdr:to>
    <xdr:sp>
      <xdr:nvSpPr>
        <xdr:cNvPr id="2" name="Line 4"/>
        <xdr:cNvSpPr>
          <a:spLocks/>
        </xdr:cNvSpPr>
      </xdr:nvSpPr>
      <xdr:spPr>
        <a:xfrm>
          <a:off x="1876425" y="2514600"/>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342900</xdr:colOff>
      <xdr:row>14</xdr:row>
      <xdr:rowOff>0</xdr:rowOff>
    </xdr:from>
    <xdr:to>
      <xdr:col>6</xdr:col>
      <xdr:colOff>295275</xdr:colOff>
      <xdr:row>14</xdr:row>
      <xdr:rowOff>0</xdr:rowOff>
    </xdr:to>
    <xdr:sp>
      <xdr:nvSpPr>
        <xdr:cNvPr id="3" name="Line 8"/>
        <xdr:cNvSpPr>
          <a:spLocks/>
        </xdr:cNvSpPr>
      </xdr:nvSpPr>
      <xdr:spPr>
        <a:xfrm>
          <a:off x="3514725" y="2352675"/>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12</xdr:row>
      <xdr:rowOff>19050</xdr:rowOff>
    </xdr:from>
    <xdr:to>
      <xdr:col>5</xdr:col>
      <xdr:colOff>400050</xdr:colOff>
      <xdr:row>15</xdr:row>
      <xdr:rowOff>76200</xdr:rowOff>
    </xdr:to>
    <xdr:sp>
      <xdr:nvSpPr>
        <xdr:cNvPr id="4" name="Rectangle 1"/>
        <xdr:cNvSpPr>
          <a:spLocks/>
        </xdr:cNvSpPr>
      </xdr:nvSpPr>
      <xdr:spPr>
        <a:xfrm>
          <a:off x="2295525" y="2047875"/>
          <a:ext cx="1276350" cy="542925"/>
        </a:xfrm>
        <a:prstGeom prst="rect">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Combustion
</a:t>
          </a:r>
          <a:r>
            <a:rPr lang="en-US" cap="none" sz="1000" b="1" i="0" u="none" baseline="0">
              <a:solidFill>
                <a:srgbClr val="000000"/>
              </a:solidFill>
              <a:latin typeface="Arial"/>
              <a:ea typeface="Arial"/>
              <a:cs typeface="Arial"/>
            </a:rPr>
            <a:t>Process</a:t>
          </a:r>
        </a:p>
      </xdr:txBody>
    </xdr:sp>
    <xdr:clientData/>
  </xdr:twoCellAnchor>
  <xdr:twoCellAnchor>
    <xdr:from>
      <xdr:col>2</xdr:col>
      <xdr:colOff>647700</xdr:colOff>
      <xdr:row>12</xdr:row>
      <xdr:rowOff>9525</xdr:rowOff>
    </xdr:from>
    <xdr:to>
      <xdr:col>4</xdr:col>
      <xdr:colOff>419100</xdr:colOff>
      <xdr:row>13</xdr:row>
      <xdr:rowOff>19050</xdr:rowOff>
    </xdr:to>
    <xdr:sp>
      <xdr:nvSpPr>
        <xdr:cNvPr id="5" name="Text Box 5"/>
        <xdr:cNvSpPr txBox="1">
          <a:spLocks noChangeArrowheads="1"/>
        </xdr:cNvSpPr>
      </xdr:nvSpPr>
      <xdr:spPr>
        <a:xfrm>
          <a:off x="1571625" y="2038350"/>
          <a:ext cx="1133475" cy="171450"/>
        </a:xfrm>
        <a:prstGeom prst="rect">
          <a:avLst/>
        </a:prstGeom>
        <a:noFill/>
        <a:ln w="9525" cmpd="sng">
          <a:noFill/>
        </a:ln>
      </xdr:spPr>
      <xdr:txBody>
        <a:bodyPr vertOverflow="clip" wrap="square" lIns="27432" tIns="18288" rIns="0" bIns="0"/>
        <a:p>
          <a:pPr algn="l">
            <a:defRPr/>
          </a:pPr>
          <a:r>
            <a:rPr lang="en-US" cap="none" sz="800" b="0" i="0" u="sng" baseline="0">
              <a:solidFill>
                <a:srgbClr val="000000"/>
              </a:solidFill>
              <a:latin typeface="Arial"/>
              <a:ea typeface="Arial"/>
              <a:cs typeface="Arial"/>
            </a:rPr>
            <a:t>Fuel Mixture</a:t>
          </a:r>
        </a:p>
      </xdr:txBody>
    </xdr:sp>
    <xdr:clientData/>
  </xdr:twoCellAnchor>
  <xdr:oneCellAnchor>
    <xdr:from>
      <xdr:col>3</xdr:col>
      <xdr:colOff>152400</xdr:colOff>
      <xdr:row>13</xdr:row>
      <xdr:rowOff>95250</xdr:rowOff>
    </xdr:from>
    <xdr:ext cx="209550" cy="190500"/>
    <xdr:sp>
      <xdr:nvSpPr>
        <xdr:cNvPr id="6" name="Text Box 6"/>
        <xdr:cNvSpPr txBox="1">
          <a:spLocks noChangeArrowheads="1"/>
        </xdr:cNvSpPr>
      </xdr:nvSpPr>
      <xdr:spPr>
        <a:xfrm>
          <a:off x="1828800" y="2286000"/>
          <a:ext cx="209550" cy="190500"/>
        </a:xfrm>
        <a:prstGeom prst="rect">
          <a:avLst/>
        </a:prstGeom>
        <a:noFill/>
        <a:ln w="9525" cmpd="sng">
          <a:noFill/>
        </a:ln>
      </xdr:spPr>
      <xdr:txBody>
        <a:bodyPr vertOverflow="clip" wrap="square" lIns="18288" tIns="18288" rIns="0" bIns="0">
          <a:spAutoFit/>
        </a:bodyPr>
        <a:p>
          <a:pPr algn="l">
            <a:defRPr/>
          </a:pPr>
          <a:r>
            <a:rPr lang="en-US" cap="none" sz="800" b="0" i="0" u="sng" baseline="0">
              <a:solidFill>
                <a:srgbClr val="000000"/>
              </a:solidFill>
              <a:latin typeface="Arial"/>
              <a:ea typeface="Arial"/>
              <a:cs typeface="Arial"/>
            </a:rPr>
            <a:t>Air</a:t>
          </a:r>
        </a:p>
      </xdr:txBody>
    </xdr:sp>
    <xdr:clientData/>
  </xdr:oneCellAnchor>
  <xdr:oneCellAnchor>
    <xdr:from>
      <xdr:col>3</xdr:col>
      <xdr:colOff>28575</xdr:colOff>
      <xdr:row>15</xdr:row>
      <xdr:rowOff>9525</xdr:rowOff>
    </xdr:from>
    <xdr:ext cx="552450" cy="133350"/>
    <xdr:sp>
      <xdr:nvSpPr>
        <xdr:cNvPr id="7" name="Text Box 9"/>
        <xdr:cNvSpPr txBox="1">
          <a:spLocks noChangeArrowheads="1"/>
        </xdr:cNvSpPr>
      </xdr:nvSpPr>
      <xdr:spPr>
        <a:xfrm>
          <a:off x="1704975" y="2524125"/>
          <a:ext cx="552450" cy="1333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Arial"/>
              <a:ea typeface="Arial"/>
              <a:cs typeface="Arial"/>
            </a:rPr>
            <a:t>with excess</a:t>
          </a:r>
        </a:p>
      </xdr:txBody>
    </xdr:sp>
    <xdr:clientData/>
  </xdr:oneCellAnchor>
  <xdr:oneCellAnchor>
    <xdr:from>
      <xdr:col>5</xdr:col>
      <xdr:colOff>571500</xdr:colOff>
      <xdr:row>11</xdr:row>
      <xdr:rowOff>38100</xdr:rowOff>
    </xdr:from>
    <xdr:ext cx="666750" cy="485775"/>
    <xdr:sp>
      <xdr:nvSpPr>
        <xdr:cNvPr id="8" name="Text Box 10"/>
        <xdr:cNvSpPr txBox="1">
          <a:spLocks noChangeArrowheads="1"/>
        </xdr:cNvSpPr>
      </xdr:nvSpPr>
      <xdr:spPr>
        <a:xfrm>
          <a:off x="3743325" y="1905000"/>
          <a:ext cx="666750" cy="485775"/>
        </a:xfrm>
        <a:prstGeom prst="rect">
          <a:avLst/>
        </a:prstGeom>
        <a:noFill/>
        <a:ln w="9525" cmpd="sng">
          <a:noFill/>
        </a:ln>
      </xdr:spPr>
      <xdr:txBody>
        <a:bodyPr vertOverflow="clip" wrap="square" lIns="18288" tIns="18288" rIns="0" bIns="0">
          <a:spAutoFit/>
        </a:bodyPr>
        <a:p>
          <a:pPr algn="l">
            <a:defRPr/>
          </a:pPr>
          <a:r>
            <a:rPr lang="en-US" cap="none" sz="800" b="0" i="0" u="sng" baseline="0">
              <a:solidFill>
                <a:srgbClr val="000000"/>
              </a:solidFill>
              <a:latin typeface="Arial"/>
              <a:ea typeface="Arial"/>
              <a:cs typeface="Arial"/>
            </a:rPr>
            <a:t>Combustion</a:t>
          </a:r>
          <a:r>
            <a:rPr lang="en-US" cap="none" sz="800" b="0" i="0" u="none" baseline="0">
              <a:solidFill>
                <a:srgbClr val="000000"/>
              </a:solidFill>
              <a:latin typeface="Arial"/>
              <a:ea typeface="Arial"/>
              <a:cs typeface="Arial"/>
            </a:rPr>
            <a:t>
</a:t>
          </a:r>
          <a:r>
            <a:rPr lang="en-US" cap="none" sz="800" b="0" i="0" u="sng" baseline="0">
              <a:solidFill>
                <a:srgbClr val="000000"/>
              </a:solidFill>
              <a:latin typeface="Arial"/>
              <a:ea typeface="Arial"/>
              <a:cs typeface="Arial"/>
            </a:rPr>
            <a:t>Products</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CO</a:t>
          </a:r>
          <a:r>
            <a:rPr lang="en-US" cap="none" sz="800" b="0" i="0" u="none" baseline="-25000">
              <a:solidFill>
                <a:srgbClr val="000000"/>
              </a:solidFill>
              <a:latin typeface="Arial"/>
              <a:ea typeface="Arial"/>
              <a:cs typeface="Arial"/>
            </a:rPr>
            <a:t>2</a:t>
          </a:r>
          <a:r>
            <a:rPr lang="en-US" cap="none" sz="800" b="0" i="0" u="none" baseline="0">
              <a:solidFill>
                <a:srgbClr val="000000"/>
              </a:solidFill>
              <a:latin typeface="Arial"/>
              <a:ea typeface="Arial"/>
              <a:cs typeface="Arial"/>
            </a:rPr>
            <a:t>, H</a:t>
          </a:r>
          <a:r>
            <a:rPr lang="en-US" cap="none" sz="800" b="0" i="0" u="none" baseline="-25000">
              <a:solidFill>
                <a:srgbClr val="000000"/>
              </a:solidFill>
              <a:latin typeface="Arial"/>
              <a:ea typeface="Arial"/>
              <a:cs typeface="Arial"/>
            </a:rPr>
            <a:t>2</a:t>
          </a:r>
          <a:r>
            <a:rPr lang="en-US" cap="none" sz="800" b="0" i="0" u="none" baseline="0">
              <a:solidFill>
                <a:srgbClr val="000000"/>
              </a:solidFill>
              <a:latin typeface="Arial"/>
              <a:ea typeface="Arial"/>
              <a:cs typeface="Arial"/>
            </a:rPr>
            <a:t>O</a:t>
          </a:r>
        </a:p>
      </xdr:txBody>
    </xdr:sp>
    <xdr:clientData/>
  </xdr:oneCellAnchor>
  <xdr:twoCellAnchor>
    <xdr:from>
      <xdr:col>18</xdr:col>
      <xdr:colOff>114300</xdr:colOff>
      <xdr:row>104</xdr:row>
      <xdr:rowOff>57150</xdr:rowOff>
    </xdr:from>
    <xdr:to>
      <xdr:col>18</xdr:col>
      <xdr:colOff>228600</xdr:colOff>
      <xdr:row>104</xdr:row>
      <xdr:rowOff>57150</xdr:rowOff>
    </xdr:to>
    <xdr:sp>
      <xdr:nvSpPr>
        <xdr:cNvPr id="9" name="Straight Connector 2"/>
        <xdr:cNvSpPr>
          <a:spLocks/>
        </xdr:cNvSpPr>
      </xdr:nvSpPr>
      <xdr:spPr>
        <a:xfrm>
          <a:off x="12696825" y="20250150"/>
          <a:ext cx="114300" cy="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18</xdr:col>
      <xdr:colOff>295275</xdr:colOff>
      <xdr:row>105</xdr:row>
      <xdr:rowOff>57150</xdr:rowOff>
    </xdr:from>
    <xdr:to>
      <xdr:col>18</xdr:col>
      <xdr:colOff>409575</xdr:colOff>
      <xdr:row>105</xdr:row>
      <xdr:rowOff>57150</xdr:rowOff>
    </xdr:to>
    <xdr:sp>
      <xdr:nvSpPr>
        <xdr:cNvPr id="10" name="Straight Connector 19"/>
        <xdr:cNvSpPr>
          <a:spLocks/>
        </xdr:cNvSpPr>
      </xdr:nvSpPr>
      <xdr:spPr>
        <a:xfrm>
          <a:off x="12877800" y="20478750"/>
          <a:ext cx="114300" cy="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18</xdr:col>
      <xdr:colOff>228600</xdr:colOff>
      <xdr:row>106</xdr:row>
      <xdr:rowOff>38100</xdr:rowOff>
    </xdr:from>
    <xdr:to>
      <xdr:col>18</xdr:col>
      <xdr:colOff>352425</xdr:colOff>
      <xdr:row>106</xdr:row>
      <xdr:rowOff>38100</xdr:rowOff>
    </xdr:to>
    <xdr:sp>
      <xdr:nvSpPr>
        <xdr:cNvPr id="11" name="Straight Connector 20"/>
        <xdr:cNvSpPr>
          <a:spLocks/>
        </xdr:cNvSpPr>
      </xdr:nvSpPr>
      <xdr:spPr>
        <a:xfrm>
          <a:off x="12811125" y="20688300"/>
          <a:ext cx="123825" cy="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18</xdr:col>
      <xdr:colOff>19050</xdr:colOff>
      <xdr:row>107</xdr:row>
      <xdr:rowOff>28575</xdr:rowOff>
    </xdr:from>
    <xdr:to>
      <xdr:col>18</xdr:col>
      <xdr:colOff>133350</xdr:colOff>
      <xdr:row>107</xdr:row>
      <xdr:rowOff>28575</xdr:rowOff>
    </xdr:to>
    <xdr:sp>
      <xdr:nvSpPr>
        <xdr:cNvPr id="12" name="Straight Connector 21"/>
        <xdr:cNvSpPr>
          <a:spLocks/>
        </xdr:cNvSpPr>
      </xdr:nvSpPr>
      <xdr:spPr>
        <a:xfrm>
          <a:off x="12601575" y="20907375"/>
          <a:ext cx="114300" cy="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276225</xdr:colOff>
      <xdr:row>61</xdr:row>
      <xdr:rowOff>9525</xdr:rowOff>
    </xdr:from>
    <xdr:to>
      <xdr:col>2</xdr:col>
      <xdr:colOff>390525</xdr:colOff>
      <xdr:row>61</xdr:row>
      <xdr:rowOff>9525</xdr:rowOff>
    </xdr:to>
    <xdr:sp>
      <xdr:nvSpPr>
        <xdr:cNvPr id="13" name="Straight Connector 4"/>
        <xdr:cNvSpPr>
          <a:spLocks/>
        </xdr:cNvSpPr>
      </xdr:nvSpPr>
      <xdr:spPr>
        <a:xfrm>
          <a:off x="1200150" y="11334750"/>
          <a:ext cx="114300" cy="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276225</xdr:colOff>
      <xdr:row>67</xdr:row>
      <xdr:rowOff>28575</xdr:rowOff>
    </xdr:from>
    <xdr:to>
      <xdr:col>2</xdr:col>
      <xdr:colOff>390525</xdr:colOff>
      <xdr:row>67</xdr:row>
      <xdr:rowOff>28575</xdr:rowOff>
    </xdr:to>
    <xdr:sp>
      <xdr:nvSpPr>
        <xdr:cNvPr id="14" name="Straight Connector 24"/>
        <xdr:cNvSpPr>
          <a:spLocks/>
        </xdr:cNvSpPr>
      </xdr:nvSpPr>
      <xdr:spPr>
        <a:xfrm>
          <a:off x="1200150" y="12782550"/>
          <a:ext cx="114300" cy="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342900</xdr:colOff>
      <xdr:row>63</xdr:row>
      <xdr:rowOff>38100</xdr:rowOff>
    </xdr:from>
    <xdr:to>
      <xdr:col>10</xdr:col>
      <xdr:colOff>457200</xdr:colOff>
      <xdr:row>63</xdr:row>
      <xdr:rowOff>38100</xdr:rowOff>
    </xdr:to>
    <xdr:sp>
      <xdr:nvSpPr>
        <xdr:cNvPr id="15" name="Straight Connector 25"/>
        <xdr:cNvSpPr>
          <a:spLocks/>
        </xdr:cNvSpPr>
      </xdr:nvSpPr>
      <xdr:spPr>
        <a:xfrm>
          <a:off x="7267575" y="11849100"/>
          <a:ext cx="114300" cy="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419100</xdr:colOff>
      <xdr:row>61</xdr:row>
      <xdr:rowOff>76200</xdr:rowOff>
    </xdr:from>
    <xdr:to>
      <xdr:col>11</xdr:col>
      <xdr:colOff>542925</xdr:colOff>
      <xdr:row>61</xdr:row>
      <xdr:rowOff>76200</xdr:rowOff>
    </xdr:to>
    <xdr:sp>
      <xdr:nvSpPr>
        <xdr:cNvPr id="16" name="Straight Connector 26"/>
        <xdr:cNvSpPr>
          <a:spLocks/>
        </xdr:cNvSpPr>
      </xdr:nvSpPr>
      <xdr:spPr>
        <a:xfrm>
          <a:off x="8315325" y="11401425"/>
          <a:ext cx="123825" cy="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18</xdr:col>
      <xdr:colOff>695325</xdr:colOff>
      <xdr:row>57</xdr:row>
      <xdr:rowOff>57150</xdr:rowOff>
    </xdr:from>
    <xdr:to>
      <xdr:col>19</xdr:col>
      <xdr:colOff>180975</xdr:colOff>
      <xdr:row>58</xdr:row>
      <xdr:rowOff>0</xdr:rowOff>
    </xdr:to>
    <xdr:sp>
      <xdr:nvSpPr>
        <xdr:cNvPr id="17" name="TextBox 5"/>
        <xdr:cNvSpPr txBox="1">
          <a:spLocks noChangeArrowheads="1"/>
        </xdr:cNvSpPr>
      </xdr:nvSpPr>
      <xdr:spPr>
        <a:xfrm>
          <a:off x="13277850" y="10487025"/>
          <a:ext cx="504825" cy="1905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a:t>
          </a:r>
        </a:p>
      </xdr:txBody>
    </xdr:sp>
    <xdr:clientData/>
  </xdr:twoCellAnchor>
  <xdr:twoCellAnchor>
    <xdr:from>
      <xdr:col>11</xdr:col>
      <xdr:colOff>495300</xdr:colOff>
      <xdr:row>72</xdr:row>
      <xdr:rowOff>200025</xdr:rowOff>
    </xdr:from>
    <xdr:to>
      <xdr:col>12</xdr:col>
      <xdr:colOff>133350</xdr:colOff>
      <xdr:row>73</xdr:row>
      <xdr:rowOff>180975</xdr:rowOff>
    </xdr:to>
    <xdr:sp>
      <xdr:nvSpPr>
        <xdr:cNvPr id="18" name="TextBox 28"/>
        <xdr:cNvSpPr txBox="1">
          <a:spLocks noChangeArrowheads="1"/>
        </xdr:cNvSpPr>
      </xdr:nvSpPr>
      <xdr:spPr>
        <a:xfrm>
          <a:off x="8391525" y="14011275"/>
          <a:ext cx="247650" cy="1905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a:t>
          </a:r>
        </a:p>
      </xdr:txBody>
    </xdr:sp>
    <xdr:clientData/>
  </xdr:twoCellAnchor>
  <xdr:twoCellAnchor>
    <xdr:from>
      <xdr:col>11</xdr:col>
      <xdr:colOff>485775</xdr:colOff>
      <xdr:row>71</xdr:row>
      <xdr:rowOff>9525</xdr:rowOff>
    </xdr:from>
    <xdr:to>
      <xdr:col>12</xdr:col>
      <xdr:colOff>123825</xdr:colOff>
      <xdr:row>71</xdr:row>
      <xdr:rowOff>200025</xdr:rowOff>
    </xdr:to>
    <xdr:sp>
      <xdr:nvSpPr>
        <xdr:cNvPr id="19" name="TextBox 29"/>
        <xdr:cNvSpPr txBox="1">
          <a:spLocks noChangeArrowheads="1"/>
        </xdr:cNvSpPr>
      </xdr:nvSpPr>
      <xdr:spPr>
        <a:xfrm>
          <a:off x="8382000" y="13611225"/>
          <a:ext cx="247650" cy="1905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a:t>
          </a:r>
        </a:p>
      </xdr:txBody>
    </xdr:sp>
    <xdr:clientData/>
  </xdr:twoCellAnchor>
  <xdr:twoCellAnchor>
    <xdr:from>
      <xdr:col>18</xdr:col>
      <xdr:colOff>895350</xdr:colOff>
      <xdr:row>106</xdr:row>
      <xdr:rowOff>200025</xdr:rowOff>
    </xdr:from>
    <xdr:to>
      <xdr:col>19</xdr:col>
      <xdr:colOff>152400</xdr:colOff>
      <xdr:row>107</xdr:row>
      <xdr:rowOff>161925</xdr:rowOff>
    </xdr:to>
    <xdr:sp>
      <xdr:nvSpPr>
        <xdr:cNvPr id="20" name="TextBox 6"/>
        <xdr:cNvSpPr txBox="1">
          <a:spLocks noChangeArrowheads="1"/>
        </xdr:cNvSpPr>
      </xdr:nvSpPr>
      <xdr:spPr>
        <a:xfrm>
          <a:off x="13477875" y="20850225"/>
          <a:ext cx="276225" cy="1905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a:t>
          </a:r>
        </a:p>
      </xdr:txBody>
    </xdr:sp>
    <xdr:clientData/>
  </xdr:twoCellAnchor>
  <xdr:twoCellAnchor>
    <xdr:from>
      <xdr:col>23</xdr:col>
      <xdr:colOff>342900</xdr:colOff>
      <xdr:row>105</xdr:row>
      <xdr:rowOff>28575</xdr:rowOff>
    </xdr:from>
    <xdr:to>
      <xdr:col>23</xdr:col>
      <xdr:colOff>723900</xdr:colOff>
      <xdr:row>106</xdr:row>
      <xdr:rowOff>19050</xdr:rowOff>
    </xdr:to>
    <xdr:sp>
      <xdr:nvSpPr>
        <xdr:cNvPr id="21" name="TextBox 32"/>
        <xdr:cNvSpPr txBox="1">
          <a:spLocks noChangeArrowheads="1"/>
        </xdr:cNvSpPr>
      </xdr:nvSpPr>
      <xdr:spPr>
        <a:xfrm>
          <a:off x="17306925" y="20450175"/>
          <a:ext cx="381000" cy="2190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---&gt;</a:t>
          </a:r>
        </a:p>
      </xdr:txBody>
    </xdr:sp>
    <xdr:clientData/>
  </xdr:twoCellAnchor>
  <xdr:twoCellAnchor>
    <xdr:from>
      <xdr:col>23</xdr:col>
      <xdr:colOff>314325</xdr:colOff>
      <xdr:row>105</xdr:row>
      <xdr:rowOff>219075</xdr:rowOff>
    </xdr:from>
    <xdr:to>
      <xdr:col>23</xdr:col>
      <xdr:colOff>695325</xdr:colOff>
      <xdr:row>106</xdr:row>
      <xdr:rowOff>209550</xdr:rowOff>
    </xdr:to>
    <xdr:sp>
      <xdr:nvSpPr>
        <xdr:cNvPr id="22" name="TextBox 33"/>
        <xdr:cNvSpPr txBox="1">
          <a:spLocks noChangeArrowheads="1"/>
        </xdr:cNvSpPr>
      </xdr:nvSpPr>
      <xdr:spPr>
        <a:xfrm>
          <a:off x="17278350" y="20640675"/>
          <a:ext cx="381000" cy="2190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---&gt;</a:t>
          </a:r>
        </a:p>
      </xdr:txBody>
    </xdr:sp>
    <xdr:clientData/>
  </xdr:twoCellAnchor>
  <xdr:twoCellAnchor>
    <xdr:from>
      <xdr:col>24</xdr:col>
      <xdr:colOff>609600</xdr:colOff>
      <xdr:row>105</xdr:row>
      <xdr:rowOff>19050</xdr:rowOff>
    </xdr:from>
    <xdr:to>
      <xdr:col>25</xdr:col>
      <xdr:colOff>304800</xdr:colOff>
      <xdr:row>106</xdr:row>
      <xdr:rowOff>9525</xdr:rowOff>
    </xdr:to>
    <xdr:sp>
      <xdr:nvSpPr>
        <xdr:cNvPr id="23" name="TextBox 34"/>
        <xdr:cNvSpPr txBox="1">
          <a:spLocks noChangeArrowheads="1"/>
        </xdr:cNvSpPr>
      </xdr:nvSpPr>
      <xdr:spPr>
        <a:xfrm>
          <a:off x="18354675" y="20440650"/>
          <a:ext cx="304800" cy="2190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a:t>
          </a:r>
        </a:p>
      </xdr:txBody>
    </xdr:sp>
    <xdr:clientData/>
  </xdr:twoCellAnchor>
  <xdr:twoCellAnchor>
    <xdr:from>
      <xdr:col>19</xdr:col>
      <xdr:colOff>647700</xdr:colOff>
      <xdr:row>105</xdr:row>
      <xdr:rowOff>19050</xdr:rowOff>
    </xdr:from>
    <xdr:to>
      <xdr:col>20</xdr:col>
      <xdr:colOff>200025</xdr:colOff>
      <xdr:row>105</xdr:row>
      <xdr:rowOff>209550</xdr:rowOff>
    </xdr:to>
    <xdr:sp>
      <xdr:nvSpPr>
        <xdr:cNvPr id="24" name="TextBox 35"/>
        <xdr:cNvSpPr txBox="1">
          <a:spLocks noChangeArrowheads="1"/>
        </xdr:cNvSpPr>
      </xdr:nvSpPr>
      <xdr:spPr>
        <a:xfrm>
          <a:off x="14249400" y="20440650"/>
          <a:ext cx="438150" cy="1905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a:t>
          </a:r>
        </a:p>
      </xdr:txBody>
    </xdr:sp>
    <xdr:clientData/>
  </xdr:twoCellAnchor>
  <xdr:twoCellAnchor>
    <xdr:from>
      <xdr:col>20</xdr:col>
      <xdr:colOff>180975</xdr:colOff>
      <xdr:row>106</xdr:row>
      <xdr:rowOff>209550</xdr:rowOff>
    </xdr:from>
    <xdr:to>
      <xdr:col>20</xdr:col>
      <xdr:colOff>561975</xdr:colOff>
      <xdr:row>108</xdr:row>
      <xdr:rowOff>38100</xdr:rowOff>
    </xdr:to>
    <xdr:sp>
      <xdr:nvSpPr>
        <xdr:cNvPr id="25" name="TextBox 36"/>
        <xdr:cNvSpPr txBox="1">
          <a:spLocks noChangeArrowheads="1"/>
        </xdr:cNvSpPr>
      </xdr:nvSpPr>
      <xdr:spPr>
        <a:xfrm>
          <a:off x="14668500" y="20859750"/>
          <a:ext cx="381000" cy="285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---&gt;</a:t>
          </a:r>
        </a:p>
      </xdr:txBody>
    </xdr:sp>
    <xdr:clientData/>
  </xdr:twoCellAnchor>
  <xdr:twoCellAnchor>
    <xdr:from>
      <xdr:col>19</xdr:col>
      <xdr:colOff>228600</xdr:colOff>
      <xdr:row>104</xdr:row>
      <xdr:rowOff>19050</xdr:rowOff>
    </xdr:from>
    <xdr:to>
      <xdr:col>19</xdr:col>
      <xdr:colOff>495300</xdr:colOff>
      <xdr:row>104</xdr:row>
      <xdr:rowOff>209550</xdr:rowOff>
    </xdr:to>
    <xdr:sp>
      <xdr:nvSpPr>
        <xdr:cNvPr id="26" name="TextBox 37"/>
        <xdr:cNvSpPr txBox="1">
          <a:spLocks noChangeArrowheads="1"/>
        </xdr:cNvSpPr>
      </xdr:nvSpPr>
      <xdr:spPr>
        <a:xfrm>
          <a:off x="13830300" y="20212050"/>
          <a:ext cx="266700" cy="1905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a:t>
          </a:r>
        </a:p>
      </xdr:txBody>
    </xdr:sp>
    <xdr:clientData/>
  </xdr:twoCellAnchor>
  <xdr:twoCellAnchor>
    <xdr:from>
      <xdr:col>21</xdr:col>
      <xdr:colOff>190500</xdr:colOff>
      <xdr:row>104</xdr:row>
      <xdr:rowOff>9525</xdr:rowOff>
    </xdr:from>
    <xdr:to>
      <xdr:col>21</xdr:col>
      <xdr:colOff>571500</xdr:colOff>
      <xdr:row>105</xdr:row>
      <xdr:rowOff>0</xdr:rowOff>
    </xdr:to>
    <xdr:sp>
      <xdr:nvSpPr>
        <xdr:cNvPr id="27" name="TextBox 38"/>
        <xdr:cNvSpPr txBox="1">
          <a:spLocks noChangeArrowheads="1"/>
        </xdr:cNvSpPr>
      </xdr:nvSpPr>
      <xdr:spPr>
        <a:xfrm>
          <a:off x="15535275" y="20202525"/>
          <a:ext cx="381000" cy="2190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---&gt;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409575</xdr:colOff>
      <xdr:row>38</xdr:row>
      <xdr:rowOff>133350</xdr:rowOff>
    </xdr:from>
    <xdr:to>
      <xdr:col>6</xdr:col>
      <xdr:colOff>180975</xdr:colOff>
      <xdr:row>38</xdr:row>
      <xdr:rowOff>581025</xdr:rowOff>
    </xdr:to>
    <xdr:sp macro="[0]!comb_calc">
      <xdr:nvSpPr>
        <xdr:cNvPr id="1" name="Text Box 14"/>
        <xdr:cNvSpPr txBox="1">
          <a:spLocks noChangeArrowheads="1"/>
        </xdr:cNvSpPr>
      </xdr:nvSpPr>
      <xdr:spPr>
        <a:xfrm>
          <a:off x="3905250" y="8058150"/>
          <a:ext cx="800100" cy="447675"/>
        </a:xfrm>
        <a:prstGeom prst="rect">
          <a:avLst/>
        </a:prstGeom>
        <a:solidFill>
          <a:srgbClr val="C0C0C0"/>
        </a:solidFill>
        <a:ln w="2857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Arial"/>
              <a:ea typeface="Arial"/>
              <a:cs typeface="Arial"/>
            </a:rPr>
            <a:t>Run Combustion Calculation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10</xdr:row>
      <xdr:rowOff>0</xdr:rowOff>
    </xdr:from>
    <xdr:to>
      <xdr:col>7</xdr:col>
      <xdr:colOff>723900</xdr:colOff>
      <xdr:row>10</xdr:row>
      <xdr:rowOff>0</xdr:rowOff>
    </xdr:to>
    <xdr:sp>
      <xdr:nvSpPr>
        <xdr:cNvPr id="1" name="Line 3"/>
        <xdr:cNvSpPr>
          <a:spLocks/>
        </xdr:cNvSpPr>
      </xdr:nvSpPr>
      <xdr:spPr>
        <a:xfrm>
          <a:off x="4705350" y="2114550"/>
          <a:ext cx="542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12</xdr:row>
      <xdr:rowOff>0</xdr:rowOff>
    </xdr:from>
    <xdr:to>
      <xdr:col>7</xdr:col>
      <xdr:colOff>723900</xdr:colOff>
      <xdr:row>12</xdr:row>
      <xdr:rowOff>0</xdr:rowOff>
    </xdr:to>
    <xdr:sp>
      <xdr:nvSpPr>
        <xdr:cNvPr id="2" name="Line 4"/>
        <xdr:cNvSpPr>
          <a:spLocks/>
        </xdr:cNvSpPr>
      </xdr:nvSpPr>
      <xdr:spPr>
        <a:xfrm>
          <a:off x="4724400" y="2438400"/>
          <a:ext cx="523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342900</xdr:colOff>
      <xdr:row>11</xdr:row>
      <xdr:rowOff>0</xdr:rowOff>
    </xdr:from>
    <xdr:to>
      <xdr:col>10</xdr:col>
      <xdr:colOff>295275</xdr:colOff>
      <xdr:row>11</xdr:row>
      <xdr:rowOff>0</xdr:rowOff>
    </xdr:to>
    <xdr:sp>
      <xdr:nvSpPr>
        <xdr:cNvPr id="3" name="Line 8"/>
        <xdr:cNvSpPr>
          <a:spLocks/>
        </xdr:cNvSpPr>
      </xdr:nvSpPr>
      <xdr:spPr>
        <a:xfrm>
          <a:off x="6410325" y="2276475"/>
          <a:ext cx="714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733425</xdr:colOff>
      <xdr:row>9</xdr:row>
      <xdr:rowOff>57150</xdr:rowOff>
    </xdr:from>
    <xdr:to>
      <xdr:col>9</xdr:col>
      <xdr:colOff>390525</xdr:colOff>
      <xdr:row>12</xdr:row>
      <xdr:rowOff>114300</xdr:rowOff>
    </xdr:to>
    <xdr:sp>
      <xdr:nvSpPr>
        <xdr:cNvPr id="4" name="Rectangle 1"/>
        <xdr:cNvSpPr>
          <a:spLocks/>
        </xdr:cNvSpPr>
      </xdr:nvSpPr>
      <xdr:spPr>
        <a:xfrm>
          <a:off x="5257800" y="1971675"/>
          <a:ext cx="1200150" cy="581025"/>
        </a:xfrm>
        <a:prstGeom prst="rect">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Combustion
</a:t>
          </a:r>
          <a:r>
            <a:rPr lang="en-US" cap="none" sz="1000" b="1" i="0" u="none" baseline="0">
              <a:solidFill>
                <a:srgbClr val="000000"/>
              </a:solidFill>
              <a:latin typeface="Arial"/>
              <a:ea typeface="Arial"/>
              <a:cs typeface="Arial"/>
            </a:rPr>
            <a:t>Process</a:t>
          </a:r>
        </a:p>
      </xdr:txBody>
    </xdr:sp>
    <xdr:clientData/>
  </xdr:twoCellAnchor>
  <xdr:twoCellAnchor>
    <xdr:from>
      <xdr:col>6</xdr:col>
      <xdr:colOff>485775</xdr:colOff>
      <xdr:row>7</xdr:row>
      <xdr:rowOff>9525</xdr:rowOff>
    </xdr:from>
    <xdr:to>
      <xdr:col>8</xdr:col>
      <xdr:colOff>257175</xdr:colOff>
      <xdr:row>9</xdr:row>
      <xdr:rowOff>28575</xdr:rowOff>
    </xdr:to>
    <xdr:sp>
      <xdr:nvSpPr>
        <xdr:cNvPr id="5" name="Text Box 5"/>
        <xdr:cNvSpPr txBox="1">
          <a:spLocks noChangeArrowheads="1"/>
        </xdr:cNvSpPr>
      </xdr:nvSpPr>
      <xdr:spPr>
        <a:xfrm>
          <a:off x="4143375" y="1543050"/>
          <a:ext cx="1466850" cy="400050"/>
        </a:xfrm>
        <a:prstGeom prst="rect">
          <a:avLst/>
        </a:prstGeom>
        <a:noFill/>
        <a:ln w="9525" cmpd="sng">
          <a:noFill/>
        </a:ln>
      </xdr:spPr>
      <xdr:txBody>
        <a:bodyPr vertOverflow="clip" wrap="square" lIns="27432" tIns="18288" rIns="0" bIns="0"/>
        <a:p>
          <a:pPr algn="l">
            <a:defRPr/>
          </a:pPr>
          <a:r>
            <a:rPr lang="en-US" cap="none" sz="800" b="0" i="0" u="sng" baseline="0">
              <a:solidFill>
                <a:srgbClr val="000000"/>
              </a:solidFill>
              <a:latin typeface="Arial"/>
              <a:ea typeface="Arial"/>
              <a:cs typeface="Arial"/>
            </a:rPr>
            <a:t>Fuel Mixture</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0.9 CH</a:t>
          </a:r>
          <a:r>
            <a:rPr lang="en-US" cap="none" sz="900" b="0" i="0" u="none" baseline="-25000">
              <a:solidFill>
                <a:srgbClr val="000000"/>
              </a:solidFill>
              <a:latin typeface="Arial"/>
              <a:ea typeface="Arial"/>
              <a:cs typeface="Arial"/>
            </a:rPr>
            <a:t>4</a:t>
          </a:r>
          <a:r>
            <a:rPr lang="en-US" cap="none" sz="900" b="0" i="0" u="none" baseline="0">
              <a:solidFill>
                <a:srgbClr val="000000"/>
              </a:solidFill>
              <a:latin typeface="Arial"/>
              <a:ea typeface="Arial"/>
              <a:cs typeface="Arial"/>
            </a:rPr>
            <a:t>, 0.06 C</a:t>
          </a:r>
          <a:r>
            <a:rPr lang="en-US" cap="none" sz="900" b="0" i="0" u="none" baseline="-25000">
              <a:solidFill>
                <a:srgbClr val="000000"/>
              </a:solidFill>
              <a:latin typeface="Arial"/>
              <a:ea typeface="Arial"/>
              <a:cs typeface="Arial"/>
            </a:rPr>
            <a:t>2</a:t>
          </a:r>
          <a:r>
            <a:rPr lang="en-US" cap="none" sz="900" b="0" i="0" u="none" baseline="0">
              <a:solidFill>
                <a:srgbClr val="000000"/>
              </a:solidFill>
              <a:latin typeface="Arial"/>
              <a:ea typeface="Arial"/>
              <a:cs typeface="Arial"/>
            </a:rPr>
            <a:t>H</a:t>
          </a:r>
          <a:r>
            <a:rPr lang="en-US" cap="none" sz="900" b="0" i="0" u="none" baseline="-25000">
              <a:solidFill>
                <a:srgbClr val="000000"/>
              </a:solidFill>
              <a:latin typeface="Arial"/>
              <a:ea typeface="Arial"/>
              <a:cs typeface="Arial"/>
            </a:rPr>
            <a:t>6</a:t>
          </a:r>
          <a:r>
            <a:rPr lang="en-US" cap="none" sz="900" b="0" i="0" u="none" baseline="0">
              <a:solidFill>
                <a:srgbClr val="000000"/>
              </a:solidFill>
              <a:latin typeface="Arial"/>
              <a:ea typeface="Arial"/>
              <a:cs typeface="Arial"/>
            </a:rPr>
            <a:t>, 0.04 N</a:t>
          </a:r>
          <a:r>
            <a:rPr lang="en-US" cap="none" sz="900" b="0" i="0" u="none" baseline="-25000">
              <a:solidFill>
                <a:srgbClr val="000000"/>
              </a:solidFill>
              <a:latin typeface="Arial"/>
              <a:ea typeface="Arial"/>
              <a:cs typeface="Arial"/>
            </a:rPr>
            <a:t>2</a:t>
          </a:r>
        </a:p>
      </xdr:txBody>
    </xdr:sp>
    <xdr:clientData/>
  </xdr:twoCellAnchor>
  <xdr:oneCellAnchor>
    <xdr:from>
      <xdr:col>7</xdr:col>
      <xdr:colOff>152400</xdr:colOff>
      <xdr:row>10</xdr:row>
      <xdr:rowOff>95250</xdr:rowOff>
    </xdr:from>
    <xdr:ext cx="209550" cy="190500"/>
    <xdr:sp>
      <xdr:nvSpPr>
        <xdr:cNvPr id="6" name="Text Box 6"/>
        <xdr:cNvSpPr txBox="1">
          <a:spLocks noChangeArrowheads="1"/>
        </xdr:cNvSpPr>
      </xdr:nvSpPr>
      <xdr:spPr>
        <a:xfrm>
          <a:off x="4676775" y="2209800"/>
          <a:ext cx="209550" cy="190500"/>
        </a:xfrm>
        <a:prstGeom prst="rect">
          <a:avLst/>
        </a:prstGeom>
        <a:noFill/>
        <a:ln w="9525" cmpd="sng">
          <a:noFill/>
        </a:ln>
      </xdr:spPr>
      <xdr:txBody>
        <a:bodyPr vertOverflow="clip" wrap="square" lIns="18288" tIns="18288" rIns="0" bIns="0">
          <a:spAutoFit/>
        </a:bodyPr>
        <a:p>
          <a:pPr algn="l">
            <a:defRPr/>
          </a:pPr>
          <a:r>
            <a:rPr lang="en-US" cap="none" sz="800" b="0" i="0" u="sng" baseline="0">
              <a:solidFill>
                <a:srgbClr val="000000"/>
              </a:solidFill>
              <a:latin typeface="Arial"/>
              <a:ea typeface="Arial"/>
              <a:cs typeface="Arial"/>
            </a:rPr>
            <a:t>Air</a:t>
          </a:r>
        </a:p>
      </xdr:txBody>
    </xdr:sp>
    <xdr:clientData/>
  </xdr:oneCellAnchor>
  <xdr:oneCellAnchor>
    <xdr:from>
      <xdr:col>7</xdr:col>
      <xdr:colOff>28575</xdr:colOff>
      <xdr:row>12</xdr:row>
      <xdr:rowOff>9525</xdr:rowOff>
    </xdr:from>
    <xdr:ext cx="676275" cy="190500"/>
    <xdr:sp>
      <xdr:nvSpPr>
        <xdr:cNvPr id="7" name="Text Box 9"/>
        <xdr:cNvSpPr txBox="1">
          <a:spLocks noChangeArrowheads="1"/>
        </xdr:cNvSpPr>
      </xdr:nvSpPr>
      <xdr:spPr>
        <a:xfrm>
          <a:off x="4552950" y="2447925"/>
          <a:ext cx="676275" cy="1905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Arial"/>
              <a:ea typeface="Arial"/>
              <a:cs typeface="Arial"/>
            </a:rPr>
            <a:t>30% excess</a:t>
          </a:r>
        </a:p>
      </xdr:txBody>
    </xdr:sp>
    <xdr:clientData/>
  </xdr:oneCellAnchor>
  <xdr:oneCellAnchor>
    <xdr:from>
      <xdr:col>9</xdr:col>
      <xdr:colOff>571500</xdr:colOff>
      <xdr:row>8</xdr:row>
      <xdr:rowOff>38100</xdr:rowOff>
    </xdr:from>
    <xdr:ext cx="666750" cy="485775"/>
    <xdr:sp>
      <xdr:nvSpPr>
        <xdr:cNvPr id="8" name="Text Box 10"/>
        <xdr:cNvSpPr txBox="1">
          <a:spLocks noChangeArrowheads="1"/>
        </xdr:cNvSpPr>
      </xdr:nvSpPr>
      <xdr:spPr>
        <a:xfrm>
          <a:off x="6638925" y="1752600"/>
          <a:ext cx="666750" cy="485775"/>
        </a:xfrm>
        <a:prstGeom prst="rect">
          <a:avLst/>
        </a:prstGeom>
        <a:noFill/>
        <a:ln w="9525" cmpd="sng">
          <a:noFill/>
        </a:ln>
      </xdr:spPr>
      <xdr:txBody>
        <a:bodyPr vertOverflow="clip" wrap="square" lIns="18288" tIns="18288" rIns="0" bIns="0">
          <a:spAutoFit/>
        </a:bodyPr>
        <a:p>
          <a:pPr algn="l">
            <a:defRPr/>
          </a:pPr>
          <a:r>
            <a:rPr lang="en-US" cap="none" sz="800" b="0" i="0" u="sng" baseline="0">
              <a:solidFill>
                <a:srgbClr val="000000"/>
              </a:solidFill>
              <a:latin typeface="Arial"/>
              <a:ea typeface="Arial"/>
              <a:cs typeface="Arial"/>
            </a:rPr>
            <a:t>Combustion</a:t>
          </a:r>
          <a:r>
            <a:rPr lang="en-US" cap="none" sz="800" b="0" i="0" u="none" baseline="0">
              <a:solidFill>
                <a:srgbClr val="000000"/>
              </a:solidFill>
              <a:latin typeface="Arial"/>
              <a:ea typeface="Arial"/>
              <a:cs typeface="Arial"/>
            </a:rPr>
            <a:t>
</a:t>
          </a:r>
          <a:r>
            <a:rPr lang="en-US" cap="none" sz="800" b="0" i="0" u="sng" baseline="0">
              <a:solidFill>
                <a:srgbClr val="000000"/>
              </a:solidFill>
              <a:latin typeface="Arial"/>
              <a:ea typeface="Arial"/>
              <a:cs typeface="Arial"/>
            </a:rPr>
            <a:t>Products</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CO</a:t>
          </a:r>
          <a:r>
            <a:rPr lang="en-US" cap="none" sz="800" b="0" i="0" u="none" baseline="-25000">
              <a:solidFill>
                <a:srgbClr val="000000"/>
              </a:solidFill>
              <a:latin typeface="Arial"/>
              <a:ea typeface="Arial"/>
              <a:cs typeface="Arial"/>
            </a:rPr>
            <a:t>2</a:t>
          </a:r>
          <a:r>
            <a:rPr lang="en-US" cap="none" sz="800" b="0" i="0" u="none" baseline="0">
              <a:solidFill>
                <a:srgbClr val="000000"/>
              </a:solidFill>
              <a:latin typeface="Arial"/>
              <a:ea typeface="Arial"/>
              <a:cs typeface="Arial"/>
            </a:rPr>
            <a:t>, H</a:t>
          </a:r>
          <a:r>
            <a:rPr lang="en-US" cap="none" sz="800" b="0" i="0" u="none" baseline="-25000">
              <a:solidFill>
                <a:srgbClr val="000000"/>
              </a:solidFill>
              <a:latin typeface="Arial"/>
              <a:ea typeface="Arial"/>
              <a:cs typeface="Arial"/>
            </a:rPr>
            <a:t>2</a:t>
          </a:r>
          <a:r>
            <a:rPr lang="en-US" cap="none" sz="800" b="0" i="0" u="none" baseline="0">
              <a:solidFill>
                <a:srgbClr val="000000"/>
              </a:solidFill>
              <a:latin typeface="Arial"/>
              <a:ea typeface="Arial"/>
              <a:cs typeface="Arial"/>
            </a:rPr>
            <a:t>O</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495300</xdr:colOff>
      <xdr:row>3</xdr:row>
      <xdr:rowOff>152400</xdr:rowOff>
    </xdr:from>
    <xdr:to>
      <xdr:col>5</xdr:col>
      <xdr:colOff>381000</xdr:colOff>
      <xdr:row>8</xdr:row>
      <xdr:rowOff>133350</xdr:rowOff>
    </xdr:to>
    <xdr:pic>
      <xdr:nvPicPr>
        <xdr:cNvPr id="1" name="Picture 1"/>
        <xdr:cNvPicPr preferRelativeResize="1">
          <a:picLocks noChangeAspect="1"/>
        </xdr:cNvPicPr>
      </xdr:nvPicPr>
      <xdr:blipFill>
        <a:blip r:embed="rId1"/>
        <a:stretch>
          <a:fillRect/>
        </a:stretch>
      </xdr:blipFill>
      <xdr:spPr>
        <a:xfrm>
          <a:off x="1104900" y="638175"/>
          <a:ext cx="2324100" cy="790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oleObject" Target="../embeddings/oleObject_1_1.bin" /><Relationship Id="rId4" Type="http://schemas.openxmlformats.org/officeDocument/2006/relationships/oleObject" Target="../embeddings/oleObject_1_2.bin" /><Relationship Id="rId5" Type="http://schemas.openxmlformats.org/officeDocument/2006/relationships/oleObject" Target="../embeddings/oleObject_1_3.bin" /><Relationship Id="rId6" Type="http://schemas.openxmlformats.org/officeDocument/2006/relationships/oleObject" Target="../embeddings/oleObject_1_4.bin" /><Relationship Id="rId7" Type="http://schemas.openxmlformats.org/officeDocument/2006/relationships/vmlDrawing" Target="../drawings/vmlDrawing2.vml" /><Relationship Id="rId8" Type="http://schemas.openxmlformats.org/officeDocument/2006/relationships/drawing" Target="../drawings/drawing2.xm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2015.4%20&#186;C" TargetMode="Externa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oleObject" Target="../embeddings/oleObject_4_0.bin" /><Relationship Id="rId3" Type="http://schemas.openxmlformats.org/officeDocument/2006/relationships/oleObject" Target="../embeddings/oleObject_4_1.bin" /><Relationship Id="rId4" Type="http://schemas.openxmlformats.org/officeDocument/2006/relationships/oleObject" Target="../embeddings/oleObject_4_2.bin" /><Relationship Id="rId5" Type="http://schemas.openxmlformats.org/officeDocument/2006/relationships/oleObject" Target="../embeddings/oleObject_4_3.bin" /><Relationship Id="rId6" Type="http://schemas.openxmlformats.org/officeDocument/2006/relationships/oleObject" Target="../embeddings/oleObject_4_4.bin" /><Relationship Id="rId7" Type="http://schemas.openxmlformats.org/officeDocument/2006/relationships/oleObject" Target="../embeddings/oleObject_4_5.bin" /><Relationship Id="rId8" Type="http://schemas.openxmlformats.org/officeDocument/2006/relationships/vmlDrawing" Target="../drawings/vmlDrawing3.vml" /><Relationship Id="rId9"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hyperlink" Target="http://www.chemecalcs.com/rk.php" TargetMode="External"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Sheet3"/>
  <dimension ref="A1:AD173"/>
  <sheetViews>
    <sheetView showGridLines="0" tabSelected="1" zoomScale="90" zoomScaleNormal="90" zoomScalePageLayoutView="0" workbookViewId="0" topLeftCell="A1">
      <selection activeCell="A1" sqref="A1"/>
    </sheetView>
  </sheetViews>
  <sheetFormatPr defaultColWidth="9.140625" defaultRowHeight="12.75"/>
  <cols>
    <col min="1" max="1" width="4.421875" style="0" customWidth="1"/>
    <col min="2" max="2" width="6.57421875" style="0" customWidth="1"/>
    <col min="3" max="3" width="11.28125" style="0" customWidth="1"/>
    <col min="4" max="4" width="10.421875" style="0" customWidth="1"/>
    <col min="5" max="5" width="13.28125" style="0" customWidth="1"/>
    <col min="8" max="8" width="13.00390625" style="0" customWidth="1"/>
    <col min="9" max="9" width="12.421875" style="0" customWidth="1"/>
    <col min="10" max="10" width="16.421875" style="0" customWidth="1"/>
    <col min="11" max="11" width="12.421875" style="0" customWidth="1"/>
    <col min="12" max="12" width="9.7109375" style="0" customWidth="1"/>
    <col min="14" max="14" width="10.7109375" style="0" customWidth="1"/>
    <col min="15" max="16" width="10.140625" style="0" customWidth="1"/>
    <col min="17" max="17" width="10.57421875" style="0" customWidth="1"/>
    <col min="18" max="18" width="15.28125" style="0" customWidth="1"/>
    <col min="19" max="19" width="10.8515625" style="0" customWidth="1"/>
    <col min="20" max="20" width="12.57421875" style="0" customWidth="1"/>
    <col min="21" max="21" width="12.8515625" style="0" customWidth="1"/>
    <col min="22" max="22" width="14.00390625" style="0" customWidth="1"/>
    <col min="23" max="23" width="12.00390625" style="0" customWidth="1"/>
    <col min="24" max="24" width="11.7109375" style="0" bestFit="1" customWidth="1"/>
    <col min="25" max="25" width="13.7109375" style="0" customWidth="1"/>
    <col min="26" max="26" width="7.421875" style="372" customWidth="1"/>
  </cols>
  <sheetData>
    <row r="1" ht="13.5" thickBot="1">
      <c r="Z1" s="651" t="s">
        <v>638</v>
      </c>
    </row>
    <row r="2" spans="2:26" ht="13.5" thickTop="1">
      <c r="B2" s="128"/>
      <c r="C2" s="129"/>
      <c r="D2" s="129"/>
      <c r="E2" s="129"/>
      <c r="F2" s="129"/>
      <c r="G2" s="129"/>
      <c r="H2" s="129"/>
      <c r="I2" s="129"/>
      <c r="J2" s="129"/>
      <c r="K2" s="129"/>
      <c r="L2" s="129"/>
      <c r="M2" s="129"/>
      <c r="N2" s="129"/>
      <c r="O2" s="129"/>
      <c r="P2" s="129"/>
      <c r="Q2" s="129"/>
      <c r="R2" s="129"/>
      <c r="S2" s="129"/>
      <c r="T2" s="129"/>
      <c r="U2" s="129"/>
      <c r="V2" s="129"/>
      <c r="W2" s="129"/>
      <c r="X2" s="129"/>
      <c r="Y2" s="129"/>
      <c r="Z2" s="373">
        <v>1</v>
      </c>
    </row>
    <row r="3" spans="2:26" ht="12.75">
      <c r="B3" s="135"/>
      <c r="C3" s="60" t="s">
        <v>685</v>
      </c>
      <c r="D3" s="26"/>
      <c r="E3" s="26"/>
      <c r="F3" s="26"/>
      <c r="G3" s="26"/>
      <c r="H3" s="224" t="s">
        <v>459</v>
      </c>
      <c r="J3" s="26"/>
      <c r="K3" s="26"/>
      <c r="O3" s="26"/>
      <c r="P3" s="26"/>
      <c r="R3" s="26"/>
      <c r="S3" s="26"/>
      <c r="T3" s="26"/>
      <c r="U3" s="26"/>
      <c r="V3" s="26"/>
      <c r="W3" s="26"/>
      <c r="X3" s="26"/>
      <c r="Y3" s="26"/>
      <c r="Z3" s="374"/>
    </row>
    <row r="4" spans="2:26" ht="12.75">
      <c r="B4" s="135"/>
      <c r="C4" s="224" t="s">
        <v>461</v>
      </c>
      <c r="D4" s="26"/>
      <c r="E4" s="26"/>
      <c r="F4" s="26"/>
      <c r="G4" s="26"/>
      <c r="H4" s="26"/>
      <c r="I4" s="26"/>
      <c r="J4" s="37" t="s">
        <v>497</v>
      </c>
      <c r="O4" s="26"/>
      <c r="R4" s="26"/>
      <c r="S4" s="26"/>
      <c r="T4" s="26"/>
      <c r="U4" s="26"/>
      <c r="Y4" s="26"/>
      <c r="Z4" s="374"/>
    </row>
    <row r="5" spans="2:26" ht="14.25" customHeight="1">
      <c r="B5" s="135"/>
      <c r="J5" s="242" t="s">
        <v>619</v>
      </c>
      <c r="K5" s="5">
        <v>90</v>
      </c>
      <c r="L5" s="37" t="s">
        <v>189</v>
      </c>
      <c r="M5" s="224" t="s">
        <v>458</v>
      </c>
      <c r="O5" s="26"/>
      <c r="R5" s="26"/>
      <c r="S5" s="26"/>
      <c r="T5" s="26"/>
      <c r="U5" s="26"/>
      <c r="Y5" s="26"/>
      <c r="Z5" s="374"/>
    </row>
    <row r="6" spans="2:26" ht="13.5" customHeight="1">
      <c r="B6" s="135"/>
      <c r="C6" s="325" t="s">
        <v>608</v>
      </c>
      <c r="D6" s="117"/>
      <c r="E6" s="117"/>
      <c r="F6" s="117"/>
      <c r="G6" s="117"/>
      <c r="H6" s="117"/>
      <c r="I6" s="117"/>
      <c r="J6" s="242" t="s">
        <v>619</v>
      </c>
      <c r="K6" s="715">
        <f>(K5-32)/1.8</f>
        <v>32.22222222222222</v>
      </c>
      <c r="L6" s="37" t="s">
        <v>534</v>
      </c>
      <c r="M6" t="s">
        <v>457</v>
      </c>
      <c r="N6" s="312">
        <v>30</v>
      </c>
      <c r="O6" s="224" t="s">
        <v>346</v>
      </c>
      <c r="R6" s="26"/>
      <c r="S6" s="26"/>
      <c r="T6" s="26"/>
      <c r="U6" s="26"/>
      <c r="Y6" s="26"/>
      <c r="Z6" s="374"/>
    </row>
    <row r="7" spans="2:26" ht="12.75" customHeight="1">
      <c r="B7" s="135"/>
      <c r="C7" s="37" t="s">
        <v>618</v>
      </c>
      <c r="D7" s="246"/>
      <c r="E7" s="246"/>
      <c r="F7" s="246"/>
      <c r="G7" s="246"/>
      <c r="H7" s="246"/>
      <c r="I7" s="246"/>
      <c r="J7" s="242" t="s">
        <v>620</v>
      </c>
      <c r="K7" s="110">
        <f>K6+Kelv</f>
        <v>305.3722222222222</v>
      </c>
      <c r="L7" s="37" t="s">
        <v>288</v>
      </c>
      <c r="M7" s="243" t="s">
        <v>519</v>
      </c>
      <c r="N7" s="5">
        <f>N6/100</f>
        <v>0.3</v>
      </c>
      <c r="O7" s="37" t="s">
        <v>352</v>
      </c>
      <c r="R7" s="26"/>
      <c r="S7" s="26"/>
      <c r="T7" s="26"/>
      <c r="U7" s="26"/>
      <c r="Y7" s="26"/>
      <c r="Z7" s="374"/>
    </row>
    <row r="8" spans="2:26" ht="15.75">
      <c r="B8" s="135"/>
      <c r="C8" s="516" t="s">
        <v>621</v>
      </c>
      <c r="D8" s="246"/>
      <c r="E8" s="246"/>
      <c r="F8" s="246"/>
      <c r="G8" s="246"/>
      <c r="H8" s="26"/>
      <c r="I8" s="246"/>
      <c r="J8" s="246"/>
      <c r="K8" s="26"/>
      <c r="S8" s="26"/>
      <c r="T8" s="26"/>
      <c r="U8" s="26"/>
      <c r="Y8" s="26"/>
      <c r="Z8" s="374"/>
    </row>
    <row r="9" spans="2:26" ht="13.5" thickBot="1">
      <c r="B9" s="135"/>
      <c r="C9" s="26"/>
      <c r="D9" s="26"/>
      <c r="E9" s="26"/>
      <c r="F9" s="26"/>
      <c r="G9" s="26"/>
      <c r="H9" s="26"/>
      <c r="I9" s="26"/>
      <c r="J9" s="26"/>
      <c r="K9" s="26"/>
      <c r="Y9" s="26"/>
      <c r="Z9" s="374"/>
    </row>
    <row r="10" spans="2:26" ht="13.5" thickBot="1">
      <c r="B10" s="135"/>
      <c r="H10" s="26"/>
      <c r="L10" s="544" t="s">
        <v>337</v>
      </c>
      <c r="M10" s="541"/>
      <c r="N10" s="541"/>
      <c r="O10" s="541"/>
      <c r="P10" s="542"/>
      <c r="Q10" s="304"/>
      <c r="R10" s="540" t="s">
        <v>640</v>
      </c>
      <c r="S10" s="541"/>
      <c r="T10" s="542"/>
      <c r="U10" s="543"/>
      <c r="V10" s="544" t="s">
        <v>359</v>
      </c>
      <c r="W10" s="255"/>
      <c r="X10" s="256"/>
      <c r="Y10" s="26"/>
      <c r="Z10" s="374"/>
    </row>
    <row r="11" spans="2:26" ht="20.25" thickBot="1">
      <c r="B11" s="135"/>
      <c r="H11" s="26"/>
      <c r="L11" s="549" t="s">
        <v>634</v>
      </c>
      <c r="M11" s="255"/>
      <c r="N11" s="650" t="s">
        <v>635</v>
      </c>
      <c r="O11" s="255"/>
      <c r="P11" s="550" t="s">
        <v>637</v>
      </c>
      <c r="Q11" s="26"/>
      <c r="R11" s="532" t="s">
        <v>641</v>
      </c>
      <c r="S11" s="120" t="s">
        <v>654</v>
      </c>
      <c r="T11" s="666"/>
      <c r="V11" s="532" t="s">
        <v>379</v>
      </c>
      <c r="W11" s="120" t="s">
        <v>658</v>
      </c>
      <c r="X11" s="666"/>
      <c r="Y11" s="26"/>
      <c r="Z11" s="374"/>
    </row>
    <row r="12" spans="2:26" ht="15">
      <c r="B12" s="135"/>
      <c r="C12" s="224" t="s">
        <v>323</v>
      </c>
      <c r="D12" s="26"/>
      <c r="E12" s="26"/>
      <c r="H12" s="26"/>
      <c r="L12" s="658" t="s">
        <v>633</v>
      </c>
      <c r="M12" s="226"/>
      <c r="N12" s="659" t="s">
        <v>636</v>
      </c>
      <c r="O12" s="226"/>
      <c r="P12" s="660" t="s">
        <v>636</v>
      </c>
      <c r="Q12" s="26"/>
      <c r="R12" s="649" t="s">
        <v>639</v>
      </c>
      <c r="S12" s="255"/>
      <c r="T12" s="670"/>
      <c r="V12" s="674"/>
      <c r="W12" s="675"/>
      <c r="X12" s="676"/>
      <c r="Y12" s="26"/>
      <c r="Z12" s="374"/>
    </row>
    <row r="13" spans="2:26" ht="19.5">
      <c r="B13" s="135"/>
      <c r="C13" s="348" t="s">
        <v>206</v>
      </c>
      <c r="D13" s="232" t="s">
        <v>510</v>
      </c>
      <c r="E13" s="348" t="s">
        <v>632</v>
      </c>
      <c r="F13" s="498" t="s">
        <v>563</v>
      </c>
      <c r="G13" s="78"/>
      <c r="H13" s="477"/>
      <c r="K13" s="26"/>
      <c r="L13" s="661" t="s">
        <v>649</v>
      </c>
      <c r="M13" s="226"/>
      <c r="N13" s="662" t="s">
        <v>650</v>
      </c>
      <c r="O13" s="226"/>
      <c r="P13" s="663" t="s">
        <v>651</v>
      </c>
      <c r="Q13" s="26"/>
      <c r="R13" s="673" t="s">
        <v>649</v>
      </c>
      <c r="S13" s="671" t="s">
        <v>655</v>
      </c>
      <c r="T13" s="672" t="s">
        <v>656</v>
      </c>
      <c r="V13" s="677" t="s">
        <v>650</v>
      </c>
      <c r="W13" s="225" t="s">
        <v>655</v>
      </c>
      <c r="X13" s="465" t="s">
        <v>662</v>
      </c>
      <c r="Y13" s="26"/>
      <c r="Z13" s="374"/>
    </row>
    <row r="14" spans="2:26" ht="16.5" thickBot="1">
      <c r="B14" s="135"/>
      <c r="C14" s="244" t="s">
        <v>514</v>
      </c>
      <c r="D14" s="244" t="s">
        <v>346</v>
      </c>
      <c r="E14" s="354" t="s">
        <v>622</v>
      </c>
      <c r="F14" s="495" t="s">
        <v>112</v>
      </c>
      <c r="G14" s="528" t="s">
        <v>113</v>
      </c>
      <c r="H14" s="528" t="s">
        <v>115</v>
      </c>
      <c r="J14" s="319" t="s">
        <v>511</v>
      </c>
      <c r="K14" s="80"/>
      <c r="L14" s="667" t="s">
        <v>513</v>
      </c>
      <c r="M14" s="668"/>
      <c r="N14" s="669"/>
      <c r="O14" s="669"/>
      <c r="P14" s="154"/>
      <c r="R14" s="537" t="s">
        <v>513</v>
      </c>
      <c r="S14" s="538" t="s">
        <v>515</v>
      </c>
      <c r="T14" s="539" t="s">
        <v>516</v>
      </c>
      <c r="V14" s="537" t="s">
        <v>517</v>
      </c>
      <c r="W14" s="538" t="s">
        <v>515</v>
      </c>
      <c r="X14" s="539" t="s">
        <v>665</v>
      </c>
      <c r="Y14" s="26"/>
      <c r="Z14" s="374"/>
    </row>
    <row r="15" spans="2:26" ht="16.5">
      <c r="B15" s="135"/>
      <c r="C15" s="522" t="s">
        <v>214</v>
      </c>
      <c r="D15" s="312">
        <v>90</v>
      </c>
      <c r="E15" s="124">
        <f>D15/100</f>
        <v>0.9</v>
      </c>
      <c r="F15" s="446">
        <v>1</v>
      </c>
      <c r="G15" s="446">
        <v>4</v>
      </c>
      <c r="H15" s="446">
        <v>0</v>
      </c>
      <c r="J15" s="348" t="s">
        <v>108</v>
      </c>
      <c r="K15" s="349" t="s">
        <v>512</v>
      </c>
      <c r="L15" s="527">
        <f aca="true" t="shared" si="0" ref="L15:L24">F15+G15/4</f>
        <v>2</v>
      </c>
      <c r="M15" s="548" t="s">
        <v>335</v>
      </c>
      <c r="N15" s="530">
        <f>F15</f>
        <v>1</v>
      </c>
      <c r="O15" s="323" t="s">
        <v>512</v>
      </c>
      <c r="P15" s="299">
        <f aca="true" t="shared" si="1" ref="P15:P24">G15/2</f>
        <v>2</v>
      </c>
      <c r="Q15" s="26"/>
      <c r="R15" s="299">
        <f aca="true" t="shared" si="2" ref="R15:R24">L15</f>
        <v>2</v>
      </c>
      <c r="S15" s="469">
        <f aca="true" t="shared" si="3" ref="S15:S24">E15</f>
        <v>0.9</v>
      </c>
      <c r="T15" s="156">
        <f>R15*S15</f>
        <v>1.8</v>
      </c>
      <c r="V15" s="299">
        <f>N15</f>
        <v>1</v>
      </c>
      <c r="W15" s="469">
        <f>E15</f>
        <v>0.9</v>
      </c>
      <c r="X15" s="156">
        <f>V15*W15</f>
        <v>0.9</v>
      </c>
      <c r="Y15" s="26"/>
      <c r="Z15" s="374"/>
    </row>
    <row r="16" spans="2:26" ht="16.5">
      <c r="B16" s="135"/>
      <c r="C16" s="455" t="s">
        <v>217</v>
      </c>
      <c r="D16" s="312">
        <v>6</v>
      </c>
      <c r="E16" s="124">
        <f>D16/100</f>
        <v>0.06</v>
      </c>
      <c r="F16" s="446">
        <v>2</v>
      </c>
      <c r="G16" s="446">
        <v>6</v>
      </c>
      <c r="H16" s="446">
        <v>0</v>
      </c>
      <c r="J16" s="317" t="s">
        <v>109</v>
      </c>
      <c r="K16" s="315" t="s">
        <v>512</v>
      </c>
      <c r="L16" s="457">
        <f t="shared" si="0"/>
        <v>3.5</v>
      </c>
      <c r="M16" s="451" t="s">
        <v>335</v>
      </c>
      <c r="N16" s="124">
        <f>F16</f>
        <v>2</v>
      </c>
      <c r="O16" s="319" t="s">
        <v>512</v>
      </c>
      <c r="P16" s="124">
        <f t="shared" si="1"/>
        <v>3</v>
      </c>
      <c r="Q16" s="26"/>
      <c r="R16" s="299">
        <f t="shared" si="2"/>
        <v>3.5</v>
      </c>
      <c r="S16" s="86">
        <f t="shared" si="3"/>
        <v>0.06</v>
      </c>
      <c r="T16" s="156">
        <f aca="true" t="shared" si="4" ref="T16:T24">R16*S16</f>
        <v>0.21</v>
      </c>
      <c r="V16" s="299">
        <f>N16</f>
        <v>2</v>
      </c>
      <c r="W16" s="87">
        <f>E16</f>
        <v>0.06</v>
      </c>
      <c r="X16" s="156">
        <f aca="true" t="shared" si="5" ref="X16:X24">V16*W16</f>
        <v>0.12</v>
      </c>
      <c r="Y16" s="26"/>
      <c r="Z16" s="374"/>
    </row>
    <row r="17" spans="2:26" ht="15.75">
      <c r="B17" s="135"/>
      <c r="C17" s="462" t="s">
        <v>218</v>
      </c>
      <c r="D17" s="312">
        <v>0</v>
      </c>
      <c r="E17" s="124">
        <f>D17/100</f>
        <v>0</v>
      </c>
      <c r="F17" s="446">
        <v>3</v>
      </c>
      <c r="G17" s="446">
        <v>8</v>
      </c>
      <c r="H17" s="446">
        <v>0</v>
      </c>
      <c r="J17" s="462" t="s">
        <v>218</v>
      </c>
      <c r="K17" s="314" t="s">
        <v>512</v>
      </c>
      <c r="L17" s="457">
        <f t="shared" si="0"/>
        <v>5</v>
      </c>
      <c r="M17" s="452" t="s">
        <v>335</v>
      </c>
      <c r="N17" s="299">
        <f>F17</f>
        <v>3</v>
      </c>
      <c r="O17" s="318" t="s">
        <v>512</v>
      </c>
      <c r="P17" s="124">
        <f t="shared" si="1"/>
        <v>4</v>
      </c>
      <c r="Q17" s="26"/>
      <c r="R17" s="299">
        <f t="shared" si="2"/>
        <v>5</v>
      </c>
      <c r="S17" s="86">
        <f t="shared" si="3"/>
        <v>0</v>
      </c>
      <c r="T17" s="156">
        <f t="shared" si="4"/>
        <v>0</v>
      </c>
      <c r="V17" s="124">
        <f>N17</f>
        <v>3</v>
      </c>
      <c r="W17" s="87">
        <f>E17</f>
        <v>0</v>
      </c>
      <c r="X17" s="164">
        <f t="shared" si="5"/>
        <v>0</v>
      </c>
      <c r="Y17" s="26"/>
      <c r="Z17" s="374"/>
    </row>
    <row r="18" spans="2:26" ht="15.75">
      <c r="B18" s="135"/>
      <c r="C18" s="455" t="s">
        <v>221</v>
      </c>
      <c r="D18" s="312">
        <v>0</v>
      </c>
      <c r="E18" s="124">
        <f>D18/100</f>
        <v>0</v>
      </c>
      <c r="F18" s="446">
        <v>4</v>
      </c>
      <c r="G18" s="446">
        <v>10</v>
      </c>
      <c r="H18" s="446">
        <v>0</v>
      </c>
      <c r="J18" s="455" t="s">
        <v>221</v>
      </c>
      <c r="K18" s="315" t="s">
        <v>512</v>
      </c>
      <c r="L18" s="457">
        <f t="shared" si="0"/>
        <v>6.5</v>
      </c>
      <c r="M18" s="451" t="s">
        <v>335</v>
      </c>
      <c r="N18" s="124">
        <f>F18</f>
        <v>4</v>
      </c>
      <c r="O18" s="319" t="s">
        <v>512</v>
      </c>
      <c r="P18" s="124">
        <f t="shared" si="1"/>
        <v>5</v>
      </c>
      <c r="Q18" s="26"/>
      <c r="R18" s="299">
        <f t="shared" si="2"/>
        <v>6.5</v>
      </c>
      <c r="S18" s="86">
        <f t="shared" si="3"/>
        <v>0</v>
      </c>
      <c r="T18" s="156">
        <f t="shared" si="4"/>
        <v>0</v>
      </c>
      <c r="V18" s="124">
        <f>N18</f>
        <v>4</v>
      </c>
      <c r="W18" s="87">
        <f>E18</f>
        <v>0</v>
      </c>
      <c r="X18" s="164">
        <f t="shared" si="5"/>
        <v>0</v>
      </c>
      <c r="Y18" s="26"/>
      <c r="Z18" s="374"/>
    </row>
    <row r="19" spans="2:26" ht="15.75">
      <c r="B19" s="135"/>
      <c r="C19" s="456" t="s">
        <v>263</v>
      </c>
      <c r="D19" s="312">
        <v>0</v>
      </c>
      <c r="E19" s="124">
        <f>D19/100</f>
        <v>0</v>
      </c>
      <c r="F19" s="446">
        <v>0</v>
      </c>
      <c r="G19" s="446">
        <v>0</v>
      </c>
      <c r="H19" s="446">
        <v>2</v>
      </c>
      <c r="J19" s="456" t="s">
        <v>263</v>
      </c>
      <c r="K19" s="315" t="s">
        <v>512</v>
      </c>
      <c r="L19" s="457">
        <f t="shared" si="0"/>
        <v>0</v>
      </c>
      <c r="M19" s="451" t="s">
        <v>335</v>
      </c>
      <c r="N19" s="124">
        <f>F19</f>
        <v>0</v>
      </c>
      <c r="O19" s="319" t="s">
        <v>512</v>
      </c>
      <c r="P19" s="124">
        <f t="shared" si="1"/>
        <v>0</v>
      </c>
      <c r="Q19" s="26"/>
      <c r="R19" s="299">
        <f t="shared" si="2"/>
        <v>0</v>
      </c>
      <c r="S19" s="86">
        <f t="shared" si="3"/>
        <v>0</v>
      </c>
      <c r="T19" s="156">
        <f t="shared" si="4"/>
        <v>0</v>
      </c>
      <c r="V19" s="124">
        <f>N19</f>
        <v>0</v>
      </c>
      <c r="W19" s="87">
        <f>E19</f>
        <v>0</v>
      </c>
      <c r="X19" s="164">
        <f t="shared" si="5"/>
        <v>0</v>
      </c>
      <c r="Y19" s="26"/>
      <c r="Z19" s="374"/>
    </row>
    <row r="20" spans="2:26" ht="15.75">
      <c r="B20" s="135"/>
      <c r="C20" s="317" t="s">
        <v>260</v>
      </c>
      <c r="D20" s="312">
        <v>4</v>
      </c>
      <c r="E20" s="124">
        <f>D20/100</f>
        <v>0.04</v>
      </c>
      <c r="F20" s="620">
        <v>0</v>
      </c>
      <c r="G20" s="620">
        <v>0</v>
      </c>
      <c r="H20" s="620">
        <v>0</v>
      </c>
      <c r="J20" s="317" t="s">
        <v>260</v>
      </c>
      <c r="K20" s="315" t="s">
        <v>512</v>
      </c>
      <c r="L20" s="457">
        <f t="shared" si="0"/>
        <v>0</v>
      </c>
      <c r="M20" s="451" t="s">
        <v>335</v>
      </c>
      <c r="N20" s="124">
        <f>F20</f>
        <v>0</v>
      </c>
      <c r="O20" s="319" t="s">
        <v>512</v>
      </c>
      <c r="P20" s="124">
        <f t="shared" si="1"/>
        <v>0</v>
      </c>
      <c r="Q20" s="26"/>
      <c r="R20" s="299">
        <f t="shared" si="2"/>
        <v>0</v>
      </c>
      <c r="S20" s="86">
        <f t="shared" si="3"/>
        <v>0.04</v>
      </c>
      <c r="T20" s="156">
        <f t="shared" si="4"/>
        <v>0</v>
      </c>
      <c r="V20" s="124">
        <f>N20</f>
        <v>0</v>
      </c>
      <c r="W20" s="87">
        <f>E20</f>
        <v>0.04</v>
      </c>
      <c r="X20" s="164">
        <f t="shared" si="5"/>
        <v>0</v>
      </c>
      <c r="Y20" s="309"/>
      <c r="Z20" s="374"/>
    </row>
    <row r="21" spans="2:26" ht="14.25" customHeight="1">
      <c r="B21" s="135"/>
      <c r="C21" s="456" t="s">
        <v>198</v>
      </c>
      <c r="D21" s="448">
        <v>0</v>
      </c>
      <c r="E21" s="124">
        <f>D21/100</f>
        <v>0</v>
      </c>
      <c r="F21" s="620">
        <v>1</v>
      </c>
      <c r="G21" s="620">
        <v>0</v>
      </c>
      <c r="H21" s="620">
        <v>2</v>
      </c>
      <c r="J21" s="456" t="s">
        <v>198</v>
      </c>
      <c r="K21" s="315" t="s">
        <v>512</v>
      </c>
      <c r="L21" s="457">
        <f t="shared" si="0"/>
        <v>1</v>
      </c>
      <c r="M21" s="451" t="s">
        <v>335</v>
      </c>
      <c r="N21" s="124">
        <f>F21</f>
        <v>1</v>
      </c>
      <c r="O21" s="319" t="s">
        <v>512</v>
      </c>
      <c r="P21" s="124">
        <f t="shared" si="1"/>
        <v>0</v>
      </c>
      <c r="Q21" s="26"/>
      <c r="R21" s="299">
        <f t="shared" si="2"/>
        <v>1</v>
      </c>
      <c r="S21" s="86">
        <f t="shared" si="3"/>
        <v>0</v>
      </c>
      <c r="T21" s="156">
        <f t="shared" si="4"/>
        <v>0</v>
      </c>
      <c r="V21" s="124">
        <f>N21</f>
        <v>1</v>
      </c>
      <c r="W21" s="87">
        <f>E21</f>
        <v>0</v>
      </c>
      <c r="X21" s="164">
        <f t="shared" si="5"/>
        <v>0</v>
      </c>
      <c r="Z21" s="374"/>
    </row>
    <row r="22" spans="1:26" s="46" customFormat="1" ht="15.75">
      <c r="A22"/>
      <c r="B22" s="135"/>
      <c r="C22" s="456" t="s">
        <v>258</v>
      </c>
      <c r="D22" s="312">
        <v>0</v>
      </c>
      <c r="E22" s="124">
        <f>D22/100</f>
        <v>0</v>
      </c>
      <c r="F22" s="446">
        <v>0</v>
      </c>
      <c r="G22" s="446">
        <v>2</v>
      </c>
      <c r="H22" s="446">
        <v>1</v>
      </c>
      <c r="I22"/>
      <c r="J22" s="456" t="s">
        <v>258</v>
      </c>
      <c r="K22" s="315" t="s">
        <v>512</v>
      </c>
      <c r="L22" s="457">
        <f t="shared" si="0"/>
        <v>0.5</v>
      </c>
      <c r="M22" s="451" t="s">
        <v>335</v>
      </c>
      <c r="N22" s="450">
        <f>F22</f>
        <v>0</v>
      </c>
      <c r="O22" s="319" t="s">
        <v>512</v>
      </c>
      <c r="P22" s="124">
        <f t="shared" si="1"/>
        <v>1</v>
      </c>
      <c r="Q22" s="26"/>
      <c r="R22" s="299">
        <f t="shared" si="2"/>
        <v>0.5</v>
      </c>
      <c r="S22" s="86">
        <f t="shared" si="3"/>
        <v>0</v>
      </c>
      <c r="T22" s="156">
        <f t="shared" si="4"/>
        <v>0</v>
      </c>
      <c r="U22"/>
      <c r="V22" s="124">
        <f>N22</f>
        <v>0</v>
      </c>
      <c r="W22" s="87">
        <f>E22</f>
        <v>0</v>
      </c>
      <c r="X22" s="164">
        <f t="shared" si="5"/>
        <v>0</v>
      </c>
      <c r="Y22" s="309"/>
      <c r="Z22" s="374"/>
    </row>
    <row r="23" spans="2:26" ht="13.5" customHeight="1">
      <c r="B23" s="135"/>
      <c r="C23" s="478" t="s">
        <v>249</v>
      </c>
      <c r="D23" s="312">
        <v>0</v>
      </c>
      <c r="E23" s="124">
        <f>D23/100</f>
        <v>0</v>
      </c>
      <c r="F23" s="446">
        <v>1</v>
      </c>
      <c r="G23" s="446">
        <v>0</v>
      </c>
      <c r="H23" s="446">
        <v>1</v>
      </c>
      <c r="J23" s="478" t="s">
        <v>249</v>
      </c>
      <c r="K23" s="349" t="s">
        <v>512</v>
      </c>
      <c r="L23" s="457">
        <f t="shared" si="0"/>
        <v>1</v>
      </c>
      <c r="M23" s="460" t="s">
        <v>335</v>
      </c>
      <c r="N23" s="459">
        <f>F23</f>
        <v>1</v>
      </c>
      <c r="O23" s="529" t="s">
        <v>512</v>
      </c>
      <c r="P23" s="299">
        <f t="shared" si="1"/>
        <v>0</v>
      </c>
      <c r="Q23" s="26"/>
      <c r="R23" s="299">
        <f t="shared" si="2"/>
        <v>1</v>
      </c>
      <c r="S23" s="86">
        <f t="shared" si="3"/>
        <v>0</v>
      </c>
      <c r="T23" s="156">
        <f t="shared" si="4"/>
        <v>0</v>
      </c>
      <c r="U23" s="536"/>
      <c r="V23" s="124">
        <f>N23</f>
        <v>1</v>
      </c>
      <c r="W23" s="87">
        <f>E23</f>
        <v>0</v>
      </c>
      <c r="X23" s="164">
        <f t="shared" si="5"/>
        <v>0</v>
      </c>
      <c r="Z23" s="374"/>
    </row>
    <row r="24" spans="1:26" s="46" customFormat="1" ht="16.5" thickBot="1">
      <c r="A24"/>
      <c r="B24" s="135"/>
      <c r="C24" s="447" t="s">
        <v>247</v>
      </c>
      <c r="D24" s="458">
        <v>0</v>
      </c>
      <c r="E24" s="124">
        <f>D24/100</f>
        <v>0</v>
      </c>
      <c r="F24" s="620">
        <v>0</v>
      </c>
      <c r="G24" s="620">
        <v>2</v>
      </c>
      <c r="H24" s="453">
        <v>0</v>
      </c>
      <c r="J24" s="447" t="s">
        <v>247</v>
      </c>
      <c r="K24" s="317" t="s">
        <v>512</v>
      </c>
      <c r="L24" s="124">
        <f t="shared" si="0"/>
        <v>0.5</v>
      </c>
      <c r="M24" s="546" t="s">
        <v>335</v>
      </c>
      <c r="N24" s="124">
        <f>F24</f>
        <v>0</v>
      </c>
      <c r="O24" s="453" t="s">
        <v>512</v>
      </c>
      <c r="P24" s="299">
        <f t="shared" si="1"/>
        <v>1</v>
      </c>
      <c r="Q24" s="26"/>
      <c r="R24" s="299">
        <f t="shared" si="2"/>
        <v>0.5</v>
      </c>
      <c r="S24" s="248">
        <f t="shared" si="3"/>
        <v>0</v>
      </c>
      <c r="T24" s="156">
        <f t="shared" si="4"/>
        <v>0</v>
      </c>
      <c r="U24" s="26"/>
      <c r="V24" s="124">
        <f>N24</f>
        <v>0</v>
      </c>
      <c r="W24" s="249">
        <f>E24</f>
        <v>0</v>
      </c>
      <c r="X24" s="164">
        <f t="shared" si="5"/>
        <v>0</v>
      </c>
      <c r="Y24"/>
      <c r="Z24" s="374"/>
    </row>
    <row r="25" spans="2:26" ht="16.5" thickBot="1">
      <c r="B25" s="135"/>
      <c r="C25" s="330" t="s">
        <v>326</v>
      </c>
      <c r="D25" s="359">
        <f>SUM(D15:D24)</f>
        <v>100</v>
      </c>
      <c r="E25" s="359">
        <f>SUM(E15:E24)</f>
        <v>1</v>
      </c>
      <c r="Q25" s="26"/>
      <c r="S25" s="390" t="s">
        <v>657</v>
      </c>
      <c r="T25" s="535">
        <f>SUM(T15:T24)</f>
        <v>2.0100000000000002</v>
      </c>
      <c r="U25" s="534" t="s">
        <v>351</v>
      </c>
      <c r="W25" s="390" t="s">
        <v>659</v>
      </c>
      <c r="X25" s="535">
        <f>SUM(X15:X23)</f>
        <v>1.02</v>
      </c>
      <c r="Y25" s="534" t="s">
        <v>371</v>
      </c>
      <c r="Z25" s="374"/>
    </row>
    <row r="26" spans="2:26" ht="12.75">
      <c r="B26" s="135"/>
      <c r="C26" s="46"/>
      <c r="D26" s="46"/>
      <c r="E26" s="46"/>
      <c r="F26" s="46"/>
      <c r="G26" s="46"/>
      <c r="H26" s="46"/>
      <c r="I26" s="46"/>
      <c r="P26" s="46"/>
      <c r="Q26" s="26"/>
      <c r="R26" s="46"/>
      <c r="S26" s="46"/>
      <c r="T26" s="46"/>
      <c r="U26" s="46"/>
      <c r="V26" s="46"/>
      <c r="W26" s="46"/>
      <c r="X26" s="46"/>
      <c r="Y26" s="26"/>
      <c r="Z26" s="374"/>
    </row>
    <row r="27" spans="2:26" ht="12.75">
      <c r="B27" s="135"/>
      <c r="J27" s="652" t="s">
        <v>631</v>
      </c>
      <c r="K27" s="653"/>
      <c r="L27" s="653"/>
      <c r="M27" s="653"/>
      <c r="N27" s="653"/>
      <c r="O27" s="653"/>
      <c r="Z27" s="374"/>
    </row>
    <row r="28" spans="1:26" s="46" customFormat="1" ht="12.75">
      <c r="A28"/>
      <c r="B28" s="135"/>
      <c r="J28" s="652" t="s">
        <v>623</v>
      </c>
      <c r="K28" s="653"/>
      <c r="L28" s="653"/>
      <c r="M28" s="653"/>
      <c r="N28" s="653"/>
      <c r="O28" s="653"/>
      <c r="Z28" s="374"/>
    </row>
    <row r="29" spans="2:26" ht="12.75">
      <c r="B29" s="135"/>
      <c r="C29" s="567" t="s">
        <v>601</v>
      </c>
      <c r="D29" s="567"/>
      <c r="E29" s="567"/>
      <c r="F29" s="567"/>
      <c r="G29" s="567"/>
      <c r="H29" s="567"/>
      <c r="J29" s="653" t="s">
        <v>625</v>
      </c>
      <c r="K29" s="653"/>
      <c r="L29" s="653"/>
      <c r="M29" s="653"/>
      <c r="N29" s="653"/>
      <c r="O29" s="653"/>
      <c r="Q29" s="26"/>
      <c r="S29" s="37" t="s">
        <v>18</v>
      </c>
      <c r="Z29" s="374"/>
    </row>
    <row r="30" spans="1:26" s="46" customFormat="1" ht="12.75">
      <c r="A30"/>
      <c r="B30" s="135"/>
      <c r="C30" s="621" t="s">
        <v>206</v>
      </c>
      <c r="D30" s="519" t="s">
        <v>609</v>
      </c>
      <c r="E30" s="622"/>
      <c r="F30" s="622"/>
      <c r="G30" s="622"/>
      <c r="H30" s="623"/>
      <c r="J30" s="654" t="s">
        <v>624</v>
      </c>
      <c r="K30" s="653"/>
      <c r="L30" s="653"/>
      <c r="M30" s="653"/>
      <c r="N30" s="653"/>
      <c r="O30" s="653"/>
      <c r="Q30" s="26"/>
      <c r="Z30" s="374"/>
    </row>
    <row r="31" spans="2:26" ht="12.75">
      <c r="B31" s="135"/>
      <c r="C31" s="624" t="s">
        <v>514</v>
      </c>
      <c r="D31" s="521" t="s">
        <v>346</v>
      </c>
      <c r="E31" s="567"/>
      <c r="F31" s="567" t="s">
        <v>497</v>
      </c>
      <c r="G31" s="567"/>
      <c r="H31" s="625"/>
      <c r="I31" s="26"/>
      <c r="J31" s="654" t="s">
        <v>652</v>
      </c>
      <c r="K31" s="653"/>
      <c r="L31" s="653"/>
      <c r="M31" s="653"/>
      <c r="N31" s="653"/>
      <c r="O31" s="653"/>
      <c r="P31" s="26"/>
      <c r="Q31" s="26"/>
      <c r="R31" s="26"/>
      <c r="S31" s="26"/>
      <c r="T31" s="46"/>
      <c r="U31" s="46"/>
      <c r="V31" s="46"/>
      <c r="W31" s="46"/>
      <c r="X31" s="46"/>
      <c r="Z31" s="374"/>
    </row>
    <row r="32" spans="2:26" ht="12.75">
      <c r="B32" s="135"/>
      <c r="C32" s="626" t="s">
        <v>214</v>
      </c>
      <c r="D32" s="627">
        <v>90</v>
      </c>
      <c r="E32" s="567"/>
      <c r="F32" s="568" t="s">
        <v>533</v>
      </c>
      <c r="G32" s="568">
        <v>90</v>
      </c>
      <c r="H32" s="625" t="s">
        <v>189</v>
      </c>
      <c r="I32" s="26"/>
      <c r="J32" s="653" t="s">
        <v>626</v>
      </c>
      <c r="K32" s="653"/>
      <c r="L32" s="655"/>
      <c r="M32" s="655"/>
      <c r="N32" s="655"/>
      <c r="O32" s="655"/>
      <c r="R32" s="26"/>
      <c r="S32" s="26"/>
      <c r="T32" s="46"/>
      <c r="U32" s="46"/>
      <c r="V32" s="37" t="s">
        <v>607</v>
      </c>
      <c r="Z32" s="374"/>
    </row>
    <row r="33" spans="2:26" ht="15.75">
      <c r="B33" s="135"/>
      <c r="C33" s="628" t="s">
        <v>217</v>
      </c>
      <c r="D33" s="628">
        <v>6</v>
      </c>
      <c r="E33" s="567"/>
      <c r="F33" s="567" t="s">
        <v>458</v>
      </c>
      <c r="G33" s="567"/>
      <c r="H33" s="625"/>
      <c r="I33" s="26"/>
      <c r="J33" s="655" t="s">
        <v>627</v>
      </c>
      <c r="K33" s="655"/>
      <c r="L33" s="653"/>
      <c r="M33" s="653"/>
      <c r="N33" s="653"/>
      <c r="O33" s="653"/>
      <c r="R33" s="46"/>
      <c r="S33" s="46"/>
      <c r="T33" s="46"/>
      <c r="U33" s="46"/>
      <c r="V33" s="87" t="s">
        <v>32</v>
      </c>
      <c r="W33" s="498" t="s">
        <v>529</v>
      </c>
      <c r="X33" s="477"/>
      <c r="Z33" s="374"/>
    </row>
    <row r="34" spans="2:26" ht="15.75">
      <c r="B34" s="135"/>
      <c r="C34" s="629" t="s">
        <v>260</v>
      </c>
      <c r="D34" s="628">
        <v>4</v>
      </c>
      <c r="E34" s="567"/>
      <c r="F34" s="567" t="s">
        <v>457</v>
      </c>
      <c r="G34" s="483">
        <v>30</v>
      </c>
      <c r="H34" s="625" t="s">
        <v>346</v>
      </c>
      <c r="I34" s="26"/>
      <c r="J34" s="655" t="s">
        <v>628</v>
      </c>
      <c r="K34" s="653" t="s">
        <v>629</v>
      </c>
      <c r="L34" s="653"/>
      <c r="M34" s="653"/>
      <c r="N34" s="653"/>
      <c r="O34" s="653"/>
      <c r="P34" s="26"/>
      <c r="Q34" s="26"/>
      <c r="R34" s="26"/>
      <c r="S34" s="26"/>
      <c r="V34" s="87" t="s">
        <v>33</v>
      </c>
      <c r="W34" s="498" t="s">
        <v>287</v>
      </c>
      <c r="X34" s="477"/>
      <c r="Z34" s="374"/>
    </row>
    <row r="35" spans="2:26" ht="12.75">
      <c r="B35" s="135"/>
      <c r="C35" s="630"/>
      <c r="D35" s="567"/>
      <c r="E35" s="567"/>
      <c r="F35" s="567"/>
      <c r="G35" s="567"/>
      <c r="H35" s="625"/>
      <c r="I35" s="26"/>
      <c r="J35" s="654" t="s">
        <v>653</v>
      </c>
      <c r="K35" s="655"/>
      <c r="L35" s="655"/>
      <c r="M35" s="655"/>
      <c r="N35" s="655"/>
      <c r="O35" s="655"/>
      <c r="P35" s="26"/>
      <c r="Q35" s="26"/>
      <c r="R35" s="26"/>
      <c r="S35" s="26"/>
      <c r="T35" s="46"/>
      <c r="U35" s="46"/>
      <c r="V35" s="456" t="s">
        <v>198</v>
      </c>
      <c r="W35" s="80" t="s">
        <v>531</v>
      </c>
      <c r="X35" s="477"/>
      <c r="Z35" s="374"/>
    </row>
    <row r="36" spans="2:26" ht="12.75">
      <c r="B36" s="135"/>
      <c r="C36" s="631" t="s">
        <v>602</v>
      </c>
      <c r="D36" s="567"/>
      <c r="E36" s="567"/>
      <c r="F36" s="567"/>
      <c r="G36" s="567"/>
      <c r="H36" s="625"/>
      <c r="I36" s="26"/>
      <c r="J36" s="655"/>
      <c r="K36" s="655"/>
      <c r="L36" s="655"/>
      <c r="M36" s="655"/>
      <c r="N36" s="655"/>
      <c r="O36" s="655"/>
      <c r="P36" s="26"/>
      <c r="Q36" s="26"/>
      <c r="R36" s="46"/>
      <c r="S36" s="46"/>
      <c r="T36" s="46"/>
      <c r="U36" s="46"/>
      <c r="V36" s="456" t="s">
        <v>258</v>
      </c>
      <c r="W36" s="498" t="s">
        <v>530</v>
      </c>
      <c r="X36" s="477"/>
      <c r="Z36" s="374"/>
    </row>
    <row r="37" spans="2:26" ht="12.75">
      <c r="B37" s="135"/>
      <c r="C37" s="632" t="s">
        <v>603</v>
      </c>
      <c r="D37" s="633">
        <v>3105.5</v>
      </c>
      <c r="E37" s="634" t="s">
        <v>189</v>
      </c>
      <c r="F37" s="634"/>
      <c r="G37" s="634"/>
      <c r="H37" s="635"/>
      <c r="I37" s="26"/>
      <c r="J37" s="654" t="s">
        <v>630</v>
      </c>
      <c r="K37" s="655"/>
      <c r="L37" s="655"/>
      <c r="M37" s="655"/>
      <c r="N37" s="655"/>
      <c r="R37" s="26"/>
      <c r="S37" s="26"/>
      <c r="T37" s="46"/>
      <c r="U37" s="46"/>
      <c r="Z37" s="374"/>
    </row>
    <row r="38" spans="2:26" ht="13.5">
      <c r="B38" s="135"/>
      <c r="C38" s="26"/>
      <c r="D38" s="26"/>
      <c r="E38" s="26"/>
      <c r="F38" s="26"/>
      <c r="G38" s="26"/>
      <c r="H38" s="26"/>
      <c r="I38" s="26"/>
      <c r="J38" s="664" t="s">
        <v>648</v>
      </c>
      <c r="K38" s="665" t="s">
        <v>564</v>
      </c>
      <c r="L38" s="655"/>
      <c r="M38" s="655"/>
      <c r="N38" s="655"/>
      <c r="R38" s="26"/>
      <c r="S38" s="26"/>
      <c r="T38" s="46"/>
      <c r="U38" s="46"/>
      <c r="V38" s="242" t="s">
        <v>532</v>
      </c>
      <c r="W38" s="5">
        <v>273.15</v>
      </c>
      <c r="X38" s="37" t="s">
        <v>288</v>
      </c>
      <c r="Z38" s="374"/>
    </row>
    <row r="39" spans="2:26" ht="12.75">
      <c r="B39" s="135"/>
      <c r="I39" s="26"/>
      <c r="J39" s="656" t="s">
        <v>642</v>
      </c>
      <c r="K39" s="657">
        <f>F15</f>
        <v>1</v>
      </c>
      <c r="L39" s="655"/>
      <c r="M39" s="655"/>
      <c r="N39" s="655"/>
      <c r="O39" s="655"/>
      <c r="P39" s="26"/>
      <c r="Q39" s="26"/>
      <c r="R39" s="26"/>
      <c r="S39" s="26"/>
      <c r="T39" s="46"/>
      <c r="U39" s="46"/>
      <c r="Z39" s="374"/>
    </row>
    <row r="40" spans="2:26" ht="12.75">
      <c r="B40" s="135"/>
      <c r="C40" s="639" t="s">
        <v>645</v>
      </c>
      <c r="D40" s="26"/>
      <c r="E40" s="26"/>
      <c r="G40" s="26"/>
      <c r="H40" s="26"/>
      <c r="I40" s="26"/>
      <c r="J40" s="656" t="s">
        <v>643</v>
      </c>
      <c r="K40" s="657">
        <f>G15</f>
        <v>4</v>
      </c>
      <c r="L40" s="655"/>
      <c r="M40" s="655"/>
      <c r="N40" s="655"/>
      <c r="O40" s="655"/>
      <c r="P40" s="26"/>
      <c r="Q40" s="26"/>
      <c r="R40" s="26"/>
      <c r="S40" s="26"/>
      <c r="T40" s="46"/>
      <c r="U40" s="46"/>
      <c r="V40" s="511" t="s">
        <v>558</v>
      </c>
      <c r="W40" s="91">
        <v>0.429923</v>
      </c>
      <c r="X40" s="224" t="s">
        <v>180</v>
      </c>
      <c r="Y40" s="26"/>
      <c r="Z40" s="374"/>
    </row>
    <row r="41" spans="2:26" ht="15.75">
      <c r="B41" s="135"/>
      <c r="C41" s="224" t="s">
        <v>647</v>
      </c>
      <c r="D41" s="26"/>
      <c r="E41" s="26"/>
      <c r="G41" s="26"/>
      <c r="H41" s="26"/>
      <c r="I41" s="26"/>
      <c r="J41" s="221" t="s">
        <v>644</v>
      </c>
      <c r="K41" s="657">
        <f>K39+K40/4</f>
        <v>2</v>
      </c>
      <c r="L41" s="26"/>
      <c r="M41" s="26"/>
      <c r="N41" s="26"/>
      <c r="O41" s="26"/>
      <c r="P41" s="26"/>
      <c r="Q41" s="26"/>
      <c r="R41" s="26"/>
      <c r="S41" s="26"/>
      <c r="T41" s="46"/>
      <c r="U41" s="46"/>
      <c r="V41" s="511" t="s">
        <v>414</v>
      </c>
      <c r="W41" s="91">
        <v>35.3147</v>
      </c>
      <c r="X41" s="224" t="s">
        <v>413</v>
      </c>
      <c r="Y41" s="26"/>
      <c r="Z41" s="374"/>
    </row>
    <row r="42" spans="2:26" ht="12.75">
      <c r="B42" s="135"/>
      <c r="C42" s="224" t="s">
        <v>646</v>
      </c>
      <c r="D42" s="26"/>
      <c r="E42" s="26"/>
      <c r="F42" s="26"/>
      <c r="G42" s="26"/>
      <c r="H42" s="26"/>
      <c r="I42" s="26"/>
      <c r="K42" s="26"/>
      <c r="L42" s="26"/>
      <c r="M42" s="26"/>
      <c r="N42" s="26"/>
      <c r="O42" s="26"/>
      <c r="P42" s="26"/>
      <c r="Q42" s="26"/>
      <c r="R42" s="26"/>
      <c r="S42" s="26"/>
      <c r="T42" s="46"/>
      <c r="U42" s="46"/>
      <c r="V42" s="511" t="s">
        <v>431</v>
      </c>
      <c r="W42" s="91">
        <v>2.20462</v>
      </c>
      <c r="X42" s="224" t="s">
        <v>432</v>
      </c>
      <c r="Y42" s="26"/>
      <c r="Z42" s="374"/>
    </row>
    <row r="43" spans="2:26" ht="12.75">
      <c r="B43" s="135"/>
      <c r="I43" s="26"/>
      <c r="K43" s="26"/>
      <c r="L43" s="26"/>
      <c r="M43" s="26"/>
      <c r="N43" s="26"/>
      <c r="O43" s="26"/>
      <c r="P43" s="26"/>
      <c r="Q43" s="26"/>
      <c r="R43" s="26"/>
      <c r="S43" s="26"/>
      <c r="T43" s="26"/>
      <c r="U43" s="26"/>
      <c r="V43" s="511" t="s">
        <v>553</v>
      </c>
      <c r="W43" s="5">
        <v>0.947817</v>
      </c>
      <c r="X43" s="224" t="s">
        <v>552</v>
      </c>
      <c r="Y43" s="26"/>
      <c r="Z43" s="374"/>
    </row>
    <row r="44" spans="2:26" ht="13.5" thickBot="1">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375"/>
    </row>
    <row r="45" ht="13.5" thickTop="1"/>
    <row r="47" ht="13.5" thickBot="1"/>
    <row r="48" spans="2:26" ht="13.5" thickTop="1">
      <c r="B48" s="128"/>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373">
        <v>2</v>
      </c>
    </row>
    <row r="49" spans="2:26" ht="12.75">
      <c r="B49" s="135"/>
      <c r="C49" s="26"/>
      <c r="D49" s="26"/>
      <c r="E49" s="26"/>
      <c r="F49" s="26"/>
      <c r="G49" s="26"/>
      <c r="H49" s="26"/>
      <c r="I49" s="26"/>
      <c r="J49" s="26"/>
      <c r="K49" s="26"/>
      <c r="L49" s="26"/>
      <c r="M49" s="26"/>
      <c r="N49" s="26"/>
      <c r="O49" s="26"/>
      <c r="P49" s="26"/>
      <c r="Q49" s="26"/>
      <c r="R49" s="26"/>
      <c r="S49" s="26"/>
      <c r="T49" s="26"/>
      <c r="U49" s="26"/>
      <c r="V49" s="26"/>
      <c r="W49" s="26"/>
      <c r="X49" s="26"/>
      <c r="Y49" s="26"/>
      <c r="Z49" s="374"/>
    </row>
    <row r="50" spans="2:26" ht="15.75">
      <c r="B50" s="135"/>
      <c r="C50" s="552" t="s">
        <v>571</v>
      </c>
      <c r="H50" s="552" t="s">
        <v>195</v>
      </c>
      <c r="I50" s="26"/>
      <c r="J50" s="26"/>
      <c r="K50" s="26"/>
      <c r="R50" s="552" t="s">
        <v>572</v>
      </c>
      <c r="Y50" s="26"/>
      <c r="Z50" s="374"/>
    </row>
    <row r="51" spans="2:26" ht="12.75">
      <c r="B51" s="135"/>
      <c r="Y51" s="26"/>
      <c r="Z51" s="374"/>
    </row>
    <row r="52" spans="2:26" ht="12.75">
      <c r="B52" s="135"/>
      <c r="C52" s="304" t="s">
        <v>566</v>
      </c>
      <c r="D52" s="304"/>
      <c r="E52" s="304"/>
      <c r="F52" s="304"/>
      <c r="H52" s="304" t="s">
        <v>573</v>
      </c>
      <c r="L52" s="304" t="s">
        <v>575</v>
      </c>
      <c r="R52" s="304" t="s">
        <v>569</v>
      </c>
      <c r="S52" s="26"/>
      <c r="T52" s="26"/>
      <c r="U52" s="26"/>
      <c r="Y52" s="26"/>
      <c r="Z52" s="374"/>
    </row>
    <row r="53" spans="2:26" ht="19.5">
      <c r="B53" s="135"/>
      <c r="C53" s="356" t="s">
        <v>358</v>
      </c>
      <c r="D53" s="342"/>
      <c r="E53" s="342"/>
      <c r="F53" s="93"/>
      <c r="H53" s="348" t="s">
        <v>383</v>
      </c>
      <c r="I53" s="468">
        <f>T25</f>
        <v>2.0100000000000002</v>
      </c>
      <c r="J53" s="554" t="s">
        <v>397</v>
      </c>
      <c r="K53" s="335"/>
      <c r="L53" s="232" t="s">
        <v>430</v>
      </c>
      <c r="M53" s="368" t="s">
        <v>428</v>
      </c>
      <c r="N53" s="234"/>
      <c r="O53" s="93"/>
      <c r="R53" s="304" t="s">
        <v>568</v>
      </c>
      <c r="S53" s="26"/>
      <c r="T53" s="26"/>
      <c r="U53" s="26"/>
      <c r="Y53" s="26"/>
      <c r="Z53" s="374"/>
    </row>
    <row r="54" spans="2:26" ht="20.25">
      <c r="B54" s="135"/>
      <c r="C54" s="292" t="s">
        <v>382</v>
      </c>
      <c r="D54" s="224" t="s">
        <v>344</v>
      </c>
      <c r="E54" s="309"/>
      <c r="F54" s="239"/>
      <c r="H54" s="244" t="s">
        <v>393</v>
      </c>
      <c r="I54" s="224" t="s">
        <v>394</v>
      </c>
      <c r="J54" s="336"/>
      <c r="K54" s="335"/>
      <c r="L54" s="230" t="s">
        <v>410</v>
      </c>
      <c r="M54" s="359">
        <f>I75</f>
        <v>214.53235082372845</v>
      </c>
      <c r="N54" s="360" t="s">
        <v>433</v>
      </c>
      <c r="O54" s="239"/>
      <c r="R54" s="341" t="s">
        <v>522</v>
      </c>
      <c r="S54" s="234"/>
      <c r="T54" s="93"/>
      <c r="U54" s="26"/>
      <c r="Y54" s="26"/>
      <c r="Z54" s="374"/>
    </row>
    <row r="55" spans="2:26" ht="18.75">
      <c r="B55" s="135"/>
      <c r="C55" s="292" t="s">
        <v>342</v>
      </c>
      <c r="D55" s="74">
        <f>T25</f>
        <v>2.0100000000000002</v>
      </c>
      <c r="E55" s="224" t="s">
        <v>351</v>
      </c>
      <c r="F55" s="239"/>
      <c r="H55" s="313" t="s">
        <v>393</v>
      </c>
      <c r="I55" s="553">
        <f>I53*(79/21)</f>
        <v>7.561428571428572</v>
      </c>
      <c r="J55" s="555" t="s">
        <v>398</v>
      </c>
      <c r="K55" s="335"/>
      <c r="L55" s="90" t="s">
        <v>429</v>
      </c>
      <c r="M55" s="91">
        <f>N7</f>
        <v>0.3</v>
      </c>
      <c r="N55" s="26"/>
      <c r="O55" s="239"/>
      <c r="R55" s="244" t="s">
        <v>521</v>
      </c>
      <c r="S55" s="526">
        <v>0</v>
      </c>
      <c r="T55" s="119" t="s">
        <v>523</v>
      </c>
      <c r="U55" s="26"/>
      <c r="Y55" s="26"/>
      <c r="Z55" s="374"/>
    </row>
    <row r="56" spans="2:26" ht="20.25">
      <c r="B56" s="135"/>
      <c r="C56" s="292" t="s">
        <v>345</v>
      </c>
      <c r="D56" s="74">
        <f>N6/100</f>
        <v>0.3</v>
      </c>
      <c r="E56" s="224" t="s">
        <v>352</v>
      </c>
      <c r="F56" s="239"/>
      <c r="H56" s="91"/>
      <c r="I56" s="26"/>
      <c r="J56" s="335"/>
      <c r="K56" s="335"/>
      <c r="L56" s="230" t="s">
        <v>430</v>
      </c>
      <c r="M56" s="444">
        <f>M54*(1+M55)</f>
        <v>278.892056070847</v>
      </c>
      <c r="N56" s="360" t="s">
        <v>433</v>
      </c>
      <c r="O56" s="239"/>
      <c r="R56" s="313" t="s">
        <v>524</v>
      </c>
      <c r="S56" s="369">
        <v>0</v>
      </c>
      <c r="T56" s="305" t="s">
        <v>525</v>
      </c>
      <c r="U56" s="26"/>
      <c r="Y56" s="26"/>
      <c r="Z56" s="374"/>
    </row>
    <row r="57" spans="2:26" ht="15.75">
      <c r="B57" s="135"/>
      <c r="C57" s="294" t="s">
        <v>382</v>
      </c>
      <c r="D57" s="338">
        <f>D55*(1+D56)</f>
        <v>2.6130000000000004</v>
      </c>
      <c r="E57" s="237" t="s">
        <v>351</v>
      </c>
      <c r="F57" s="240"/>
      <c r="H57" s="304" t="s">
        <v>574</v>
      </c>
      <c r="K57" s="335"/>
      <c r="L57" s="231"/>
      <c r="M57" s="26"/>
      <c r="N57" s="26"/>
      <c r="O57" s="239"/>
      <c r="U57" s="26"/>
      <c r="V57" s="26"/>
      <c r="Y57" s="26"/>
      <c r="Z57" s="374"/>
    </row>
    <row r="58" spans="2:26" ht="19.5">
      <c r="B58" s="135"/>
      <c r="C58" s="26"/>
      <c r="D58" s="26"/>
      <c r="E58" s="26"/>
      <c r="F58" s="26"/>
      <c r="G58" s="26"/>
      <c r="H58" s="348" t="s">
        <v>395</v>
      </c>
      <c r="I58" s="533" t="s">
        <v>396</v>
      </c>
      <c r="J58" s="554"/>
      <c r="K58" s="335"/>
      <c r="L58" s="230" t="s">
        <v>430</v>
      </c>
      <c r="M58" s="359">
        <f>M56</f>
        <v>278.892056070847</v>
      </c>
      <c r="N58" s="26">
        <f>W41</f>
        <v>35.3147</v>
      </c>
      <c r="O58" s="239"/>
      <c r="R58" s="304" t="s">
        <v>376</v>
      </c>
      <c r="S58" s="309"/>
      <c r="T58" s="309"/>
      <c r="U58" s="26"/>
      <c r="Y58" s="26"/>
      <c r="Z58" s="374"/>
    </row>
    <row r="59" spans="2:26" ht="19.5">
      <c r="B59" s="135"/>
      <c r="C59" s="26"/>
      <c r="D59" s="26"/>
      <c r="E59" s="26"/>
      <c r="F59" s="26"/>
      <c r="G59" s="26"/>
      <c r="H59" s="244" t="s">
        <v>383</v>
      </c>
      <c r="I59" s="91">
        <f>I53</f>
        <v>2.0100000000000002</v>
      </c>
      <c r="J59" s="336" t="s">
        <v>397</v>
      </c>
      <c r="K59" s="335"/>
      <c r="L59" s="230" t="s">
        <v>430</v>
      </c>
      <c r="M59" s="228">
        <f>M58*N58</f>
        <v>9848.98929252514</v>
      </c>
      <c r="N59" s="360" t="s">
        <v>435</v>
      </c>
      <c r="O59" s="239"/>
      <c r="R59" s="293" t="s">
        <v>381</v>
      </c>
      <c r="S59" s="533" t="s">
        <v>377</v>
      </c>
      <c r="T59" s="343"/>
      <c r="U59" s="26"/>
      <c r="Y59" s="26"/>
      <c r="Z59" s="374"/>
    </row>
    <row r="60" spans="2:26" ht="19.5">
      <c r="B60" s="135"/>
      <c r="C60" s="304" t="s">
        <v>567</v>
      </c>
      <c r="D60" s="26"/>
      <c r="E60" s="26"/>
      <c r="F60" s="26"/>
      <c r="G60" s="26"/>
      <c r="H60" s="244" t="s">
        <v>393</v>
      </c>
      <c r="I60" s="123">
        <f>I55</f>
        <v>7.561428571428572</v>
      </c>
      <c r="J60" s="336" t="s">
        <v>398</v>
      </c>
      <c r="K60" s="335"/>
      <c r="L60" s="230" t="s">
        <v>430</v>
      </c>
      <c r="M60" s="228">
        <f>M59</f>
        <v>9848.98929252514</v>
      </c>
      <c r="N60" s="26">
        <f>W42</f>
        <v>2.20462</v>
      </c>
      <c r="O60" s="239"/>
      <c r="R60" s="292" t="s">
        <v>342</v>
      </c>
      <c r="S60" s="243">
        <f>T25</f>
        <v>2.0100000000000002</v>
      </c>
      <c r="T60" s="119" t="s">
        <v>351</v>
      </c>
      <c r="U60" s="309"/>
      <c r="Y60" s="26"/>
      <c r="Z60" s="374"/>
    </row>
    <row r="61" spans="2:26" ht="19.5">
      <c r="B61" s="135"/>
      <c r="C61" s="293" t="s">
        <v>453</v>
      </c>
      <c r="D61" s="234"/>
      <c r="E61" s="234"/>
      <c r="F61" s="93"/>
      <c r="G61" s="26"/>
      <c r="H61" s="313" t="s">
        <v>395</v>
      </c>
      <c r="I61" s="553">
        <f>I59+I60</f>
        <v>9.571428571428573</v>
      </c>
      <c r="J61" s="555" t="s">
        <v>399</v>
      </c>
      <c r="K61" s="26"/>
      <c r="L61" s="361" t="s">
        <v>430</v>
      </c>
      <c r="M61" s="370">
        <f>M60/N60</f>
        <v>4467.431708196942</v>
      </c>
      <c r="N61" s="362" t="s">
        <v>434</v>
      </c>
      <c r="O61" s="240"/>
      <c r="R61" s="292" t="s">
        <v>345</v>
      </c>
      <c r="S61" s="74">
        <f>N7</f>
        <v>0.3</v>
      </c>
      <c r="T61" s="119" t="s">
        <v>352</v>
      </c>
      <c r="U61" s="309"/>
      <c r="V61" s="26"/>
      <c r="Y61" s="26"/>
      <c r="Z61" s="374"/>
    </row>
    <row r="62" spans="2:26" ht="15.75">
      <c r="B62" s="135"/>
      <c r="C62" s="244" t="s">
        <v>380</v>
      </c>
      <c r="D62" s="224" t="s">
        <v>356</v>
      </c>
      <c r="E62" s="26"/>
      <c r="F62" s="239"/>
      <c r="G62" s="26"/>
      <c r="H62" s="26"/>
      <c r="I62" s="26"/>
      <c r="J62" s="26"/>
      <c r="K62" s="26"/>
      <c r="R62" s="294" t="s">
        <v>381</v>
      </c>
      <c r="S62" s="339">
        <f>S60*S61</f>
        <v>0.6030000000000001</v>
      </c>
      <c r="T62" s="305" t="s">
        <v>351</v>
      </c>
      <c r="U62" s="309"/>
      <c r="V62" s="26"/>
      <c r="Y62" s="26"/>
      <c r="Z62" s="374"/>
    </row>
    <row r="63" spans="2:26" ht="15.75">
      <c r="B63" s="135"/>
      <c r="C63" s="244" t="s">
        <v>343</v>
      </c>
      <c r="D63" s="243">
        <f>D57</f>
        <v>2.6130000000000004</v>
      </c>
      <c r="E63" s="224" t="s">
        <v>351</v>
      </c>
      <c r="F63" s="239"/>
      <c r="G63" s="26"/>
      <c r="H63" s="304" t="s">
        <v>409</v>
      </c>
      <c r="I63" s="26"/>
      <c r="J63" s="26"/>
      <c r="U63" s="26"/>
      <c r="V63" s="26"/>
      <c r="Y63" s="26"/>
      <c r="Z63" s="374"/>
    </row>
    <row r="64" spans="2:26" ht="15.75">
      <c r="B64" s="135"/>
      <c r="C64" s="244" t="s">
        <v>357</v>
      </c>
      <c r="D64" s="91">
        <f>E20</f>
        <v>0.04</v>
      </c>
      <c r="E64" s="224" t="s">
        <v>580</v>
      </c>
      <c r="F64" s="239"/>
      <c r="G64" s="26"/>
      <c r="H64" s="348" t="s">
        <v>400</v>
      </c>
      <c r="I64" s="533" t="s">
        <v>401</v>
      </c>
      <c r="J64" s="93"/>
      <c r="K64" s="26"/>
      <c r="U64" s="26"/>
      <c r="V64" s="26"/>
      <c r="Y64" s="26"/>
      <c r="Z64" s="374"/>
    </row>
    <row r="65" spans="2:26" ht="15.75">
      <c r="B65" s="135"/>
      <c r="C65" s="313" t="s">
        <v>380</v>
      </c>
      <c r="D65" s="339">
        <f>D63*(79/21)+D64</f>
        <v>9.869857142857143</v>
      </c>
      <c r="E65" s="237" t="s">
        <v>580</v>
      </c>
      <c r="F65" s="240"/>
      <c r="G65" s="26"/>
      <c r="H65" s="244" t="s">
        <v>402</v>
      </c>
      <c r="I65" s="91">
        <v>8314.41</v>
      </c>
      <c r="J65" s="334" t="s">
        <v>403</v>
      </c>
      <c r="K65" s="26"/>
      <c r="L65" s="26"/>
      <c r="M65" s="26"/>
      <c r="N65" s="26"/>
      <c r="O65" s="26"/>
      <c r="R65" s="304" t="s">
        <v>577</v>
      </c>
      <c r="U65" s="26"/>
      <c r="V65" s="26"/>
      <c r="Y65" s="26"/>
      <c r="Z65" s="374"/>
    </row>
    <row r="66" spans="2:26" ht="15.75">
      <c r="B66" s="135"/>
      <c r="G66" s="26"/>
      <c r="H66" s="292" t="s">
        <v>404</v>
      </c>
      <c r="I66" s="26"/>
      <c r="J66" s="239"/>
      <c r="K66" s="26"/>
      <c r="L66" s="26"/>
      <c r="M66" s="26"/>
      <c r="N66" s="26"/>
      <c r="O66" s="26"/>
      <c r="R66" s="348" t="s">
        <v>578</v>
      </c>
      <c r="S66" s="556" t="s">
        <v>579</v>
      </c>
      <c r="T66" s="93"/>
      <c r="U66" s="26"/>
      <c r="V66" s="26"/>
      <c r="W66" s="26"/>
      <c r="X66" s="26"/>
      <c r="Y66" s="26"/>
      <c r="Z66" s="374"/>
    </row>
    <row r="67" spans="2:26" ht="15.75">
      <c r="B67" s="135"/>
      <c r="G67" s="26"/>
      <c r="H67" s="323" t="s">
        <v>406</v>
      </c>
      <c r="I67" s="91">
        <v>273.15</v>
      </c>
      <c r="J67" s="119" t="s">
        <v>288</v>
      </c>
      <c r="K67" s="26"/>
      <c r="L67" s="26"/>
      <c r="M67" s="26"/>
      <c r="N67" s="26"/>
      <c r="O67" s="26"/>
      <c r="R67" s="244" t="s">
        <v>380</v>
      </c>
      <c r="S67" s="365">
        <f>D65</f>
        <v>9.869857142857143</v>
      </c>
      <c r="T67" s="119" t="s">
        <v>580</v>
      </c>
      <c r="U67" s="26"/>
      <c r="V67" s="26"/>
      <c r="W67" s="26"/>
      <c r="X67" s="26"/>
      <c r="Y67" s="26"/>
      <c r="Z67" s="374"/>
    </row>
    <row r="68" spans="2:26" ht="15.75">
      <c r="B68" s="135"/>
      <c r="G68" s="26"/>
      <c r="H68" s="323" t="s">
        <v>407</v>
      </c>
      <c r="I68" s="91">
        <v>101325</v>
      </c>
      <c r="J68" s="119" t="s">
        <v>405</v>
      </c>
      <c r="K68" s="26"/>
      <c r="O68" s="26"/>
      <c r="P68" s="26"/>
      <c r="R68" s="313" t="s">
        <v>578</v>
      </c>
      <c r="S68" s="636">
        <f>S67</f>
        <v>9.869857142857143</v>
      </c>
      <c r="T68" s="305" t="s">
        <v>580</v>
      </c>
      <c r="U68" s="26"/>
      <c r="Y68" s="26"/>
      <c r="Z68" s="374"/>
    </row>
    <row r="69" spans="2:26" ht="15.75">
      <c r="B69" s="135"/>
      <c r="G69" s="26"/>
      <c r="H69" s="318" t="s">
        <v>408</v>
      </c>
      <c r="I69" s="467">
        <f>I65*I67/I68</f>
        <v>22.413827698001477</v>
      </c>
      <c r="J69" s="358" t="s">
        <v>415</v>
      </c>
      <c r="K69" s="26"/>
      <c r="O69" s="26"/>
      <c r="P69" s="26"/>
      <c r="U69" s="26"/>
      <c r="Y69" s="26"/>
      <c r="Z69" s="374"/>
    </row>
    <row r="70" spans="2:26" ht="12.75">
      <c r="B70" s="135"/>
      <c r="G70" s="26"/>
      <c r="K70" s="26"/>
      <c r="O70" s="26"/>
      <c r="P70" s="26"/>
      <c r="U70" s="26"/>
      <c r="Y70" s="26"/>
      <c r="Z70" s="374"/>
    </row>
    <row r="71" spans="2:26" ht="12.75">
      <c r="B71" s="135"/>
      <c r="G71" s="26"/>
      <c r="H71" s="304" t="s">
        <v>576</v>
      </c>
      <c r="K71" s="26"/>
      <c r="O71" s="26"/>
      <c r="P71" s="26"/>
      <c r="U71" s="26"/>
      <c r="Y71" s="26"/>
      <c r="Z71" s="374"/>
    </row>
    <row r="72" spans="2:26" ht="19.5">
      <c r="B72" s="135"/>
      <c r="H72" s="232" t="s">
        <v>410</v>
      </c>
      <c r="I72" s="556" t="s">
        <v>411</v>
      </c>
      <c r="J72" s="93"/>
      <c r="K72" s="26"/>
      <c r="P72" s="26"/>
      <c r="U72" s="26"/>
      <c r="Y72" s="26"/>
      <c r="Z72" s="374"/>
    </row>
    <row r="73" spans="2:26" ht="18.75">
      <c r="B73" s="135"/>
      <c r="H73" s="244" t="s">
        <v>395</v>
      </c>
      <c r="I73" s="123">
        <f>I61</f>
        <v>9.571428571428573</v>
      </c>
      <c r="J73" s="336" t="s">
        <v>412</v>
      </c>
      <c r="K73" s="26"/>
      <c r="P73" s="26"/>
      <c r="U73" s="26"/>
      <c r="Y73" s="26"/>
      <c r="Z73" s="374"/>
    </row>
    <row r="74" spans="2:26" ht="20.25">
      <c r="B74" s="135"/>
      <c r="H74" s="323" t="s">
        <v>408</v>
      </c>
      <c r="I74" s="123">
        <f>I69</f>
        <v>22.413827698001477</v>
      </c>
      <c r="J74" s="557" t="s">
        <v>416</v>
      </c>
      <c r="K74" s="26"/>
      <c r="U74" s="26"/>
      <c r="Y74" s="26"/>
      <c r="Z74" s="374"/>
    </row>
    <row r="75" spans="2:26" ht="20.25">
      <c r="B75" s="135"/>
      <c r="C75" s="26"/>
      <c r="D75" s="26"/>
      <c r="E75" s="26"/>
      <c r="F75" s="26"/>
      <c r="G75" s="26"/>
      <c r="H75" s="361" t="s">
        <v>410</v>
      </c>
      <c r="I75" s="369">
        <f>I73*I74</f>
        <v>214.53235082372845</v>
      </c>
      <c r="J75" s="558" t="s">
        <v>433</v>
      </c>
      <c r="K75" s="26"/>
      <c r="M75" s="26"/>
      <c r="N75" s="26"/>
      <c r="O75" s="26"/>
      <c r="P75" s="26"/>
      <c r="U75" s="26"/>
      <c r="Y75" s="26"/>
      <c r="Z75" s="374"/>
    </row>
    <row r="76" spans="2:26" ht="12.75">
      <c r="B76" s="135"/>
      <c r="C76" s="26"/>
      <c r="D76" s="26"/>
      <c r="E76" s="26"/>
      <c r="F76" s="26"/>
      <c r="G76" s="26"/>
      <c r="K76" s="26"/>
      <c r="M76" s="26"/>
      <c r="N76" s="26"/>
      <c r="O76" s="26"/>
      <c r="P76" s="26"/>
      <c r="U76" s="26"/>
      <c r="Y76" s="26"/>
      <c r="Z76" s="374"/>
    </row>
    <row r="77" spans="2:26" ht="12.75">
      <c r="B77" s="135"/>
      <c r="C77" s="26"/>
      <c r="D77" s="26"/>
      <c r="E77" s="26"/>
      <c r="F77" s="26"/>
      <c r="G77" s="26"/>
      <c r="K77" s="26"/>
      <c r="U77" s="26"/>
      <c r="W77" s="26"/>
      <c r="X77" s="26"/>
      <c r="Y77" s="26"/>
      <c r="Z77" s="374"/>
    </row>
    <row r="78" spans="2:26" ht="12.75">
      <c r="B78" s="135"/>
      <c r="C78" s="26"/>
      <c r="D78" s="26"/>
      <c r="E78" s="26"/>
      <c r="F78" s="26"/>
      <c r="G78" s="26"/>
      <c r="H78" s="26"/>
      <c r="I78" s="26"/>
      <c r="J78" s="26"/>
      <c r="K78" s="26"/>
      <c r="U78" s="26"/>
      <c r="W78" s="26"/>
      <c r="X78" s="26"/>
      <c r="Y78" s="26"/>
      <c r="Z78" s="374"/>
    </row>
    <row r="79" spans="2:26" ht="12.75">
      <c r="B79" s="135"/>
      <c r="C79" s="224" t="s">
        <v>18</v>
      </c>
      <c r="D79" s="26"/>
      <c r="E79" s="26"/>
      <c r="F79" s="26"/>
      <c r="G79" s="26"/>
      <c r="H79" s="26"/>
      <c r="I79" s="26"/>
      <c r="J79" s="26"/>
      <c r="K79" s="26"/>
      <c r="U79" s="26"/>
      <c r="Y79" s="26"/>
      <c r="Z79" s="374"/>
    </row>
    <row r="80" spans="2:26" ht="12.75">
      <c r="B80" s="135"/>
      <c r="F80" s="26"/>
      <c r="G80" s="26"/>
      <c r="H80" s="26"/>
      <c r="I80" s="26"/>
      <c r="J80" s="26"/>
      <c r="K80" s="26"/>
      <c r="U80" s="26"/>
      <c r="Y80" s="26"/>
      <c r="Z80" s="374"/>
    </row>
    <row r="81" spans="2:26" ht="12.75">
      <c r="B81" s="135"/>
      <c r="F81" s="26"/>
      <c r="G81" s="26"/>
      <c r="H81" s="26"/>
      <c r="I81" s="26"/>
      <c r="J81" s="26"/>
      <c r="K81" s="26"/>
      <c r="U81" s="26"/>
      <c r="Y81" s="26"/>
      <c r="Z81" s="374"/>
    </row>
    <row r="82" spans="2:26" ht="12.75">
      <c r="B82" s="135"/>
      <c r="C82" s="26"/>
      <c r="D82" s="26"/>
      <c r="E82" s="26"/>
      <c r="F82" s="26"/>
      <c r="G82" s="26"/>
      <c r="H82" s="26"/>
      <c r="I82" s="26"/>
      <c r="J82" s="26"/>
      <c r="K82" s="26"/>
      <c r="L82" s="26"/>
      <c r="M82" s="26"/>
      <c r="N82" s="26"/>
      <c r="O82" s="26"/>
      <c r="P82" s="26"/>
      <c r="U82" s="26"/>
      <c r="W82" s="5"/>
      <c r="X82" s="224"/>
      <c r="Y82" s="26"/>
      <c r="Z82" s="374"/>
    </row>
    <row r="83" spans="2:26" ht="12.75">
      <c r="B83" s="135"/>
      <c r="C83" s="26"/>
      <c r="D83" s="26"/>
      <c r="E83" s="26"/>
      <c r="F83" s="26"/>
      <c r="G83" s="26"/>
      <c r="H83" s="26"/>
      <c r="I83" s="26"/>
      <c r="J83" s="26"/>
      <c r="K83" s="26"/>
      <c r="L83" s="26"/>
      <c r="M83" s="26"/>
      <c r="N83" s="26"/>
      <c r="O83" s="26"/>
      <c r="P83" s="26"/>
      <c r="Q83" s="26"/>
      <c r="R83" s="26"/>
      <c r="S83" s="26"/>
      <c r="T83" s="26"/>
      <c r="U83" s="26"/>
      <c r="V83" s="26"/>
      <c r="W83" s="26"/>
      <c r="X83" s="26"/>
      <c r="Y83" s="26"/>
      <c r="Z83" s="374"/>
    </row>
    <row r="84" spans="2:26" ht="12.75">
      <c r="B84" s="135"/>
      <c r="C84" s="26"/>
      <c r="D84" s="26"/>
      <c r="E84" s="26"/>
      <c r="F84" s="26"/>
      <c r="G84" s="26"/>
      <c r="H84" s="26"/>
      <c r="I84" s="26"/>
      <c r="J84" s="26"/>
      <c r="K84" s="26"/>
      <c r="L84" s="26"/>
      <c r="M84" s="26"/>
      <c r="N84" s="26"/>
      <c r="O84" s="26"/>
      <c r="P84" s="26"/>
      <c r="Q84" s="26"/>
      <c r="R84" s="26"/>
      <c r="S84" s="26"/>
      <c r="T84" s="26"/>
      <c r="U84" s="26"/>
      <c r="V84" s="26"/>
      <c r="W84" s="26"/>
      <c r="X84" s="26"/>
      <c r="Y84" s="26"/>
      <c r="Z84" s="374"/>
    </row>
    <row r="85" spans="2:26" ht="13.5" thickBot="1">
      <c r="B85" s="200"/>
      <c r="C85" s="201"/>
      <c r="D85" s="201"/>
      <c r="E85" s="201"/>
      <c r="F85" s="201"/>
      <c r="G85" s="201"/>
      <c r="H85" s="201"/>
      <c r="I85" s="201"/>
      <c r="J85" s="201"/>
      <c r="K85" s="201"/>
      <c r="L85" s="201"/>
      <c r="M85" s="201"/>
      <c r="N85" s="201"/>
      <c r="O85" s="201"/>
      <c r="P85" s="201"/>
      <c r="Q85" s="201"/>
      <c r="R85" s="201"/>
      <c r="S85" s="201"/>
      <c r="T85" s="201"/>
      <c r="U85" s="201"/>
      <c r="V85" s="201"/>
      <c r="W85" s="201"/>
      <c r="X85" s="201"/>
      <c r="Y85" s="201"/>
      <c r="Z85" s="375"/>
    </row>
    <row r="86" ht="13.5" thickTop="1"/>
    <row r="89" ht="13.5" thickBot="1"/>
    <row r="90" spans="2:26" ht="13.5" thickTop="1">
      <c r="B90" s="128"/>
      <c r="C90" s="129"/>
      <c r="D90" s="129"/>
      <c r="E90" s="129"/>
      <c r="F90" s="129"/>
      <c r="G90" s="129"/>
      <c r="H90" s="129"/>
      <c r="I90" s="129"/>
      <c r="J90" s="129"/>
      <c r="K90" s="129"/>
      <c r="L90" s="129"/>
      <c r="M90" s="129"/>
      <c r="N90" s="129"/>
      <c r="O90" s="129"/>
      <c r="P90" s="129"/>
      <c r="Q90" s="129"/>
      <c r="R90" s="129"/>
      <c r="S90" s="129"/>
      <c r="T90" s="129"/>
      <c r="U90" s="129"/>
      <c r="V90" s="129"/>
      <c r="W90" s="129"/>
      <c r="X90" s="129"/>
      <c r="Y90" s="129"/>
      <c r="Z90" s="373">
        <v>3</v>
      </c>
    </row>
    <row r="91" spans="2:26" ht="13.5" thickBot="1">
      <c r="B91" s="135"/>
      <c r="D91" s="26"/>
      <c r="E91" s="26"/>
      <c r="F91" s="26"/>
      <c r="G91" s="26"/>
      <c r="H91" s="26"/>
      <c r="I91" s="26"/>
      <c r="O91" s="26"/>
      <c r="P91" s="26"/>
      <c r="Q91" s="26"/>
      <c r="R91" s="26"/>
      <c r="S91" s="26"/>
      <c r="T91" s="26"/>
      <c r="U91" s="26"/>
      <c r="V91" s="26"/>
      <c r="W91" s="26"/>
      <c r="X91" s="26"/>
      <c r="Y91" s="26"/>
      <c r="Z91" s="374"/>
    </row>
    <row r="92" spans="2:26" ht="13.5" thickBot="1">
      <c r="B92" s="135"/>
      <c r="C92" s="26"/>
      <c r="D92" s="26"/>
      <c r="E92" s="26"/>
      <c r="F92" s="26"/>
      <c r="G92" s="26"/>
      <c r="H92" s="26"/>
      <c r="I92" s="26"/>
      <c r="L92" s="544" t="s">
        <v>337</v>
      </c>
      <c r="M92" s="541"/>
      <c r="N92" s="541"/>
      <c r="O92" s="541"/>
      <c r="P92" s="542"/>
      <c r="Q92" s="26"/>
      <c r="R92" s="544" t="s">
        <v>660</v>
      </c>
      <c r="S92" s="255"/>
      <c r="T92" s="256"/>
      <c r="U92" s="26"/>
      <c r="Y92" s="26"/>
      <c r="Z92" s="374"/>
    </row>
    <row r="93" spans="2:26" ht="20.25" thickBot="1">
      <c r="B93" s="135"/>
      <c r="C93" s="26"/>
      <c r="D93" s="26"/>
      <c r="E93" s="26"/>
      <c r="F93" s="26"/>
      <c r="G93" s="26"/>
      <c r="H93" s="26"/>
      <c r="I93" s="26"/>
      <c r="L93" s="549" t="s">
        <v>634</v>
      </c>
      <c r="M93" s="255"/>
      <c r="N93" s="650" t="s">
        <v>635</v>
      </c>
      <c r="O93" s="255"/>
      <c r="P93" s="550" t="s">
        <v>637</v>
      </c>
      <c r="Q93" s="26"/>
      <c r="R93" s="532" t="s">
        <v>378</v>
      </c>
      <c r="S93" s="120" t="s">
        <v>661</v>
      </c>
      <c r="T93" s="666"/>
      <c r="U93" s="26"/>
      <c r="Z93" s="374"/>
    </row>
    <row r="94" spans="2:26" ht="15">
      <c r="B94" s="135"/>
      <c r="C94" s="304" t="s">
        <v>323</v>
      </c>
      <c r="E94" s="26"/>
      <c r="F94" s="26"/>
      <c r="G94" s="26"/>
      <c r="H94" s="26"/>
      <c r="I94" s="26"/>
      <c r="L94" s="658" t="s">
        <v>633</v>
      </c>
      <c r="M94" s="226"/>
      <c r="N94" s="659" t="s">
        <v>636</v>
      </c>
      <c r="O94" s="226"/>
      <c r="P94" s="660" t="s">
        <v>636</v>
      </c>
      <c r="Q94" s="26"/>
      <c r="R94" s="674"/>
      <c r="S94" s="675"/>
      <c r="T94" s="676"/>
      <c r="U94" s="26"/>
      <c r="Z94" s="374"/>
    </row>
    <row r="95" spans="2:26" ht="19.5">
      <c r="B95" s="135"/>
      <c r="C95" s="348" t="s">
        <v>206</v>
      </c>
      <c r="D95" s="232" t="s">
        <v>510</v>
      </c>
      <c r="E95" s="349" t="s">
        <v>632</v>
      </c>
      <c r="F95" s="26"/>
      <c r="G95" s="26"/>
      <c r="H95" s="26"/>
      <c r="I95" s="26"/>
      <c r="K95" s="26"/>
      <c r="L95" s="661" t="s">
        <v>649</v>
      </c>
      <c r="M95" s="226"/>
      <c r="N95" s="662" t="s">
        <v>650</v>
      </c>
      <c r="O95" s="226"/>
      <c r="P95" s="663" t="s">
        <v>651</v>
      </c>
      <c r="Q95" s="26"/>
      <c r="R95" s="677" t="s">
        <v>651</v>
      </c>
      <c r="S95" s="225" t="s">
        <v>655</v>
      </c>
      <c r="T95" s="465" t="s">
        <v>664</v>
      </c>
      <c r="U95" s="26"/>
      <c r="Z95" s="374"/>
    </row>
    <row r="96" spans="2:26" ht="16.5" thickBot="1">
      <c r="B96" s="135"/>
      <c r="C96" s="244" t="s">
        <v>514</v>
      </c>
      <c r="D96" s="244" t="s">
        <v>346</v>
      </c>
      <c r="E96" s="314" t="s">
        <v>622</v>
      </c>
      <c r="F96" s="414" t="s">
        <v>112</v>
      </c>
      <c r="G96" s="308" t="s">
        <v>113</v>
      </c>
      <c r="H96" s="308" t="s">
        <v>115</v>
      </c>
      <c r="I96" s="26"/>
      <c r="J96" s="319" t="s">
        <v>511</v>
      </c>
      <c r="K96" s="80"/>
      <c r="L96" s="667" t="s">
        <v>513</v>
      </c>
      <c r="M96" s="668"/>
      <c r="N96" s="669"/>
      <c r="O96" s="669"/>
      <c r="P96" s="154"/>
      <c r="Q96" s="26"/>
      <c r="R96" s="537" t="s">
        <v>663</v>
      </c>
      <c r="S96" s="538" t="s">
        <v>515</v>
      </c>
      <c r="T96" s="539" t="s">
        <v>518</v>
      </c>
      <c r="U96" s="26"/>
      <c r="Z96" s="374"/>
    </row>
    <row r="97" spans="2:26" ht="16.5">
      <c r="B97" s="135"/>
      <c r="C97" s="522" t="s">
        <v>214</v>
      </c>
      <c r="D97" s="522">
        <f>D15</f>
        <v>90</v>
      </c>
      <c r="E97" s="678">
        <f>D97/100</f>
        <v>0.9</v>
      </c>
      <c r="F97" s="637">
        <f>F15</f>
        <v>1</v>
      </c>
      <c r="G97" s="637">
        <f>G15</f>
        <v>4</v>
      </c>
      <c r="H97" s="637">
        <f>H15</f>
        <v>0</v>
      </c>
      <c r="I97" s="26"/>
      <c r="J97" s="244" t="s">
        <v>108</v>
      </c>
      <c r="K97" s="314" t="s">
        <v>512</v>
      </c>
      <c r="L97" s="299">
        <f aca="true" t="shared" si="6" ref="L97:L106">F97+G97/4</f>
        <v>2</v>
      </c>
      <c r="M97" s="452" t="s">
        <v>335</v>
      </c>
      <c r="N97" s="299">
        <f aca="true" t="shared" si="7" ref="N97:N106">F97</f>
        <v>1</v>
      </c>
      <c r="O97" s="454" t="s">
        <v>512</v>
      </c>
      <c r="P97" s="299">
        <f aca="true" t="shared" si="8" ref="P97:P106">G97/2</f>
        <v>2</v>
      </c>
      <c r="Q97" s="26"/>
      <c r="R97" s="551">
        <f>P97</f>
        <v>2</v>
      </c>
      <c r="S97" s="86">
        <f aca="true" t="shared" si="9" ref="S97:S106">E97</f>
        <v>0.9</v>
      </c>
      <c r="T97" s="156">
        <f>R97*S97</f>
        <v>1.8</v>
      </c>
      <c r="U97" s="26"/>
      <c r="Z97" s="374"/>
    </row>
    <row r="98" spans="2:26" ht="16.5">
      <c r="B98" s="135"/>
      <c r="C98" s="455" t="s">
        <v>217</v>
      </c>
      <c r="D98" s="522">
        <f>D16</f>
        <v>6</v>
      </c>
      <c r="E98" s="614">
        <f aca="true" t="shared" si="10" ref="E98:E106">D98/100</f>
        <v>0.06</v>
      </c>
      <c r="F98" s="637">
        <f>F16</f>
        <v>2</v>
      </c>
      <c r="G98" s="637">
        <f>G16</f>
        <v>6</v>
      </c>
      <c r="H98" s="637">
        <f>H16</f>
        <v>0</v>
      </c>
      <c r="I98" s="26"/>
      <c r="J98" s="317" t="s">
        <v>109</v>
      </c>
      <c r="K98" s="315" t="s">
        <v>512</v>
      </c>
      <c r="L98" s="124">
        <f t="shared" si="6"/>
        <v>3.5</v>
      </c>
      <c r="M98" s="451" t="s">
        <v>335</v>
      </c>
      <c r="N98" s="124">
        <f t="shared" si="7"/>
        <v>2</v>
      </c>
      <c r="O98" s="453" t="s">
        <v>512</v>
      </c>
      <c r="P98" s="124">
        <f t="shared" si="8"/>
        <v>3</v>
      </c>
      <c r="Q98" s="26"/>
      <c r="R98" s="547">
        <f aca="true" t="shared" si="11" ref="R98:R106">P98</f>
        <v>3</v>
      </c>
      <c r="S98" s="87">
        <f t="shared" si="9"/>
        <v>0.06</v>
      </c>
      <c r="T98" s="164">
        <f>R98*S98</f>
        <v>0.18</v>
      </c>
      <c r="U98" s="26"/>
      <c r="Z98" s="374"/>
    </row>
    <row r="99" spans="2:26" ht="15.75">
      <c r="B99" s="135"/>
      <c r="C99" s="462" t="s">
        <v>218</v>
      </c>
      <c r="D99" s="522">
        <f>D17</f>
        <v>0</v>
      </c>
      <c r="E99" s="614">
        <f t="shared" si="10"/>
        <v>0</v>
      </c>
      <c r="F99" s="637">
        <f>F17</f>
        <v>3</v>
      </c>
      <c r="G99" s="637">
        <f>G17</f>
        <v>8</v>
      </c>
      <c r="H99" s="637">
        <f>H17</f>
        <v>0</v>
      </c>
      <c r="I99" s="26"/>
      <c r="J99" s="462" t="s">
        <v>218</v>
      </c>
      <c r="K99" s="315" t="s">
        <v>512</v>
      </c>
      <c r="L99" s="124">
        <f t="shared" si="6"/>
        <v>5</v>
      </c>
      <c r="M99" s="451" t="s">
        <v>335</v>
      </c>
      <c r="N99" s="124">
        <f t="shared" si="7"/>
        <v>3</v>
      </c>
      <c r="O99" s="453" t="s">
        <v>512</v>
      </c>
      <c r="P99" s="124">
        <f t="shared" si="8"/>
        <v>4</v>
      </c>
      <c r="Q99" s="26"/>
      <c r="R99" s="547">
        <f t="shared" si="11"/>
        <v>4</v>
      </c>
      <c r="S99" s="87">
        <f t="shared" si="9"/>
        <v>0</v>
      </c>
      <c r="T99" s="164">
        <f>R99*S99</f>
        <v>0</v>
      </c>
      <c r="U99" s="26"/>
      <c r="Z99" s="374"/>
    </row>
    <row r="100" spans="2:26" ht="15.75">
      <c r="B100" s="135"/>
      <c r="C100" s="455" t="s">
        <v>221</v>
      </c>
      <c r="D100" s="522">
        <f>D18</f>
        <v>0</v>
      </c>
      <c r="E100" s="614">
        <f t="shared" si="10"/>
        <v>0</v>
      </c>
      <c r="F100" s="637">
        <f>F18</f>
        <v>4</v>
      </c>
      <c r="G100" s="637">
        <f>G18</f>
        <v>10</v>
      </c>
      <c r="H100" s="637">
        <f>H18</f>
        <v>0</v>
      </c>
      <c r="I100" s="26"/>
      <c r="J100" s="455" t="s">
        <v>221</v>
      </c>
      <c r="K100" s="315" t="s">
        <v>512</v>
      </c>
      <c r="L100" s="124">
        <f t="shared" si="6"/>
        <v>6.5</v>
      </c>
      <c r="M100" s="451" t="s">
        <v>335</v>
      </c>
      <c r="N100" s="124">
        <f t="shared" si="7"/>
        <v>4</v>
      </c>
      <c r="O100" s="453" t="s">
        <v>512</v>
      </c>
      <c r="P100" s="124">
        <f t="shared" si="8"/>
        <v>5</v>
      </c>
      <c r="Q100" s="26"/>
      <c r="R100" s="547">
        <f t="shared" si="11"/>
        <v>5</v>
      </c>
      <c r="S100" s="87">
        <f t="shared" si="9"/>
        <v>0</v>
      </c>
      <c r="T100" s="164">
        <f>R100*S100</f>
        <v>0</v>
      </c>
      <c r="U100" s="26"/>
      <c r="Z100" s="374"/>
    </row>
    <row r="101" spans="2:26" ht="15.75">
      <c r="B101" s="135"/>
      <c r="C101" s="456" t="s">
        <v>263</v>
      </c>
      <c r="D101" s="522">
        <f>D19</f>
        <v>0</v>
      </c>
      <c r="E101" s="614">
        <f t="shared" si="10"/>
        <v>0</v>
      </c>
      <c r="F101" s="637">
        <f>F19</f>
        <v>0</v>
      </c>
      <c r="G101" s="637">
        <f>G19</f>
        <v>0</v>
      </c>
      <c r="H101" s="637">
        <f>H19</f>
        <v>2</v>
      </c>
      <c r="I101" s="26"/>
      <c r="J101" s="456" t="s">
        <v>263</v>
      </c>
      <c r="K101" s="315" t="s">
        <v>512</v>
      </c>
      <c r="L101" s="124">
        <f t="shared" si="6"/>
        <v>0</v>
      </c>
      <c r="M101" s="451" t="s">
        <v>335</v>
      </c>
      <c r="N101" s="124">
        <f t="shared" si="7"/>
        <v>0</v>
      </c>
      <c r="O101" s="453" t="s">
        <v>512</v>
      </c>
      <c r="P101" s="124">
        <f t="shared" si="8"/>
        <v>0</v>
      </c>
      <c r="Q101" s="26"/>
      <c r="R101" s="547">
        <f t="shared" si="11"/>
        <v>0</v>
      </c>
      <c r="S101" s="87">
        <f t="shared" si="9"/>
        <v>0</v>
      </c>
      <c r="T101" s="164">
        <f aca="true" t="shared" si="12" ref="T101:T106">R101*S101</f>
        <v>0</v>
      </c>
      <c r="U101" s="26"/>
      <c r="Z101" s="524"/>
    </row>
    <row r="102" spans="2:26" ht="15.75">
      <c r="B102" s="135"/>
      <c r="C102" s="317" t="s">
        <v>260</v>
      </c>
      <c r="D102" s="522">
        <f>D20</f>
        <v>4</v>
      </c>
      <c r="E102" s="614">
        <f t="shared" si="10"/>
        <v>0.04</v>
      </c>
      <c r="F102" s="637">
        <f>F20</f>
        <v>0</v>
      </c>
      <c r="G102" s="637">
        <f>G20</f>
        <v>0</v>
      </c>
      <c r="H102" s="637">
        <f>H20</f>
        <v>0</v>
      </c>
      <c r="I102" s="26"/>
      <c r="J102" s="317" t="s">
        <v>260</v>
      </c>
      <c r="K102" s="315" t="s">
        <v>512</v>
      </c>
      <c r="L102" s="124">
        <f t="shared" si="6"/>
        <v>0</v>
      </c>
      <c r="M102" s="451" t="s">
        <v>335</v>
      </c>
      <c r="N102" s="124">
        <f t="shared" si="7"/>
        <v>0</v>
      </c>
      <c r="O102" s="453" t="s">
        <v>512</v>
      </c>
      <c r="P102" s="124">
        <f t="shared" si="8"/>
        <v>0</v>
      </c>
      <c r="Q102" s="26"/>
      <c r="R102" s="547">
        <f t="shared" si="11"/>
        <v>0</v>
      </c>
      <c r="S102" s="87">
        <f t="shared" si="9"/>
        <v>0.04</v>
      </c>
      <c r="T102" s="164">
        <f t="shared" si="12"/>
        <v>0</v>
      </c>
      <c r="U102" s="26"/>
      <c r="Z102" s="524"/>
    </row>
    <row r="103" spans="2:26" ht="15.75">
      <c r="B103" s="135"/>
      <c r="C103" s="456" t="s">
        <v>198</v>
      </c>
      <c r="D103" s="522">
        <f>D22</f>
        <v>0</v>
      </c>
      <c r="E103" s="614">
        <f>D103/100</f>
        <v>0</v>
      </c>
      <c r="F103" s="637">
        <f>F21</f>
        <v>1</v>
      </c>
      <c r="G103" s="637">
        <f>G21</f>
        <v>0</v>
      </c>
      <c r="H103" s="637">
        <f>H21</f>
        <v>2</v>
      </c>
      <c r="I103" s="309"/>
      <c r="J103" s="456" t="s">
        <v>198</v>
      </c>
      <c r="K103" s="315" t="s">
        <v>512</v>
      </c>
      <c r="L103" s="124">
        <f t="shared" si="6"/>
        <v>1</v>
      </c>
      <c r="M103" s="451" t="s">
        <v>335</v>
      </c>
      <c r="N103" s="124">
        <f t="shared" si="7"/>
        <v>1</v>
      </c>
      <c r="O103" s="453" t="s">
        <v>512</v>
      </c>
      <c r="P103" s="124">
        <f t="shared" si="8"/>
        <v>0</v>
      </c>
      <c r="Q103" s="26"/>
      <c r="R103" s="547">
        <f t="shared" si="11"/>
        <v>0</v>
      </c>
      <c r="S103" s="87">
        <f t="shared" si="9"/>
        <v>0</v>
      </c>
      <c r="T103" s="164">
        <f>R103*S103</f>
        <v>0</v>
      </c>
      <c r="U103" s="26"/>
      <c r="Z103" s="524"/>
    </row>
    <row r="104" spans="2:26" ht="15.75">
      <c r="B104" s="135"/>
      <c r="C104" s="456" t="s">
        <v>258</v>
      </c>
      <c r="D104" s="455">
        <f>D24</f>
        <v>0</v>
      </c>
      <c r="E104" s="446">
        <f>D104/100</f>
        <v>0</v>
      </c>
      <c r="F104" s="637">
        <f>F22</f>
        <v>0</v>
      </c>
      <c r="G104" s="637">
        <f>G22</f>
        <v>2</v>
      </c>
      <c r="H104" s="637">
        <f>H22</f>
        <v>1</v>
      </c>
      <c r="I104" s="26"/>
      <c r="J104" s="456" t="s">
        <v>258</v>
      </c>
      <c r="K104" s="315" t="s">
        <v>512</v>
      </c>
      <c r="L104" s="124">
        <f t="shared" si="6"/>
        <v>0.5</v>
      </c>
      <c r="M104" s="451" t="s">
        <v>335</v>
      </c>
      <c r="N104" s="124">
        <f t="shared" si="7"/>
        <v>0</v>
      </c>
      <c r="O104" s="453" t="s">
        <v>512</v>
      </c>
      <c r="P104" s="124">
        <f t="shared" si="8"/>
        <v>1</v>
      </c>
      <c r="Q104" s="26"/>
      <c r="R104" s="547">
        <f t="shared" si="11"/>
        <v>1</v>
      </c>
      <c r="S104" s="87">
        <f t="shared" si="9"/>
        <v>0</v>
      </c>
      <c r="T104" s="138"/>
      <c r="U104" s="26"/>
      <c r="V104" s="173"/>
      <c r="Z104" s="524"/>
    </row>
    <row r="105" spans="2:26" ht="15.75">
      <c r="B105" s="135"/>
      <c r="C105" s="478" t="s">
        <v>249</v>
      </c>
      <c r="D105" s="522">
        <f>D21</f>
        <v>0</v>
      </c>
      <c r="E105" s="614">
        <f>D105/100</f>
        <v>0</v>
      </c>
      <c r="F105" s="637">
        <f>F23</f>
        <v>1</v>
      </c>
      <c r="G105" s="637">
        <f>G23</f>
        <v>0</v>
      </c>
      <c r="H105" s="637">
        <f>H23</f>
        <v>1</v>
      </c>
      <c r="I105" s="26"/>
      <c r="J105" s="456" t="s">
        <v>249</v>
      </c>
      <c r="K105" s="315" t="s">
        <v>512</v>
      </c>
      <c r="L105" s="124">
        <f t="shared" si="6"/>
        <v>1</v>
      </c>
      <c r="M105" s="451" t="s">
        <v>335</v>
      </c>
      <c r="N105" s="124">
        <f t="shared" si="7"/>
        <v>1</v>
      </c>
      <c r="O105" s="453" t="s">
        <v>512</v>
      </c>
      <c r="P105" s="124">
        <f t="shared" si="8"/>
        <v>0</v>
      </c>
      <c r="Q105" s="26"/>
      <c r="R105" s="547">
        <f t="shared" si="11"/>
        <v>0</v>
      </c>
      <c r="S105" s="87">
        <f t="shared" si="9"/>
        <v>0</v>
      </c>
      <c r="T105" s="164">
        <f>R105*S105</f>
        <v>0</v>
      </c>
      <c r="U105" s="173"/>
      <c r="V105" s="173"/>
      <c r="W105" s="173"/>
      <c r="X105" s="173"/>
      <c r="Y105" s="173"/>
      <c r="Z105" s="524"/>
    </row>
    <row r="106" spans="2:26" ht="15.75">
      <c r="B106" s="135"/>
      <c r="C106" s="447" t="s">
        <v>247</v>
      </c>
      <c r="D106" s="446">
        <f>D23</f>
        <v>0</v>
      </c>
      <c r="E106" s="455">
        <f t="shared" si="10"/>
        <v>0</v>
      </c>
      <c r="F106" s="446">
        <f>F24</f>
        <v>0</v>
      </c>
      <c r="G106" s="446">
        <f>G24</f>
        <v>2</v>
      </c>
      <c r="H106" s="446">
        <f>H24</f>
        <v>0</v>
      </c>
      <c r="I106" s="309"/>
      <c r="J106" s="456" t="s">
        <v>247</v>
      </c>
      <c r="K106" s="315" t="s">
        <v>512</v>
      </c>
      <c r="L106" s="124">
        <f t="shared" si="6"/>
        <v>0.5</v>
      </c>
      <c r="M106" s="451" t="s">
        <v>335</v>
      </c>
      <c r="N106" s="124">
        <f t="shared" si="7"/>
        <v>0</v>
      </c>
      <c r="O106" s="453" t="s">
        <v>512</v>
      </c>
      <c r="P106" s="124">
        <f t="shared" si="8"/>
        <v>1</v>
      </c>
      <c r="Q106" s="26"/>
      <c r="R106" s="547">
        <f t="shared" si="11"/>
        <v>1</v>
      </c>
      <c r="S106" s="87">
        <f t="shared" si="9"/>
        <v>0</v>
      </c>
      <c r="T106" s="164">
        <f t="shared" si="12"/>
        <v>0</v>
      </c>
      <c r="U106" s="26"/>
      <c r="Y106" s="26"/>
      <c r="Z106" s="374"/>
    </row>
    <row r="107" spans="2:26" ht="13.5" thickBot="1">
      <c r="B107" s="135"/>
      <c r="T107" s="156">
        <f>R104*S104</f>
        <v>0</v>
      </c>
      <c r="U107" s="26"/>
      <c r="V107" s="26"/>
      <c r="W107" s="26"/>
      <c r="X107" s="26"/>
      <c r="Y107" s="26"/>
      <c r="Z107" s="374"/>
    </row>
    <row r="108" spans="2:26" ht="16.5" thickBot="1">
      <c r="B108" s="135"/>
      <c r="C108" s="330" t="s">
        <v>326</v>
      </c>
      <c r="D108" s="91">
        <f>SUM(D97:D106)</f>
        <v>100</v>
      </c>
      <c r="E108" s="479">
        <f>SUM(E97:E106)</f>
        <v>1</v>
      </c>
      <c r="F108" s="26"/>
      <c r="G108" s="26"/>
      <c r="H108" s="26"/>
      <c r="I108" s="26"/>
      <c r="J108" s="26"/>
      <c r="K108" s="26"/>
      <c r="L108" s="26"/>
      <c r="M108" s="26"/>
      <c r="N108" s="26"/>
      <c r="O108" s="26"/>
      <c r="P108" s="26"/>
      <c r="Q108" s="26"/>
      <c r="R108" s="26"/>
      <c r="S108" s="390" t="s">
        <v>570</v>
      </c>
      <c r="T108" s="545">
        <f>SUM(T97:T107)</f>
        <v>1.98</v>
      </c>
      <c r="U108" s="534" t="s">
        <v>375</v>
      </c>
      <c r="V108" s="26"/>
      <c r="W108" s="26"/>
      <c r="X108" s="26"/>
      <c r="Y108" s="26"/>
      <c r="Z108" s="374"/>
    </row>
    <row r="109" spans="2:26" ht="12.75">
      <c r="B109" s="135"/>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374"/>
    </row>
    <row r="110" spans="2:26" ht="12.75">
      <c r="B110" s="135"/>
      <c r="C110" s="31"/>
      <c r="D110" s="173"/>
      <c r="E110" s="638"/>
      <c r="F110" s="173"/>
      <c r="G110" s="24"/>
      <c r="H110" s="24"/>
      <c r="I110" s="26"/>
      <c r="N110" s="26"/>
      <c r="O110" s="543" t="s">
        <v>582</v>
      </c>
      <c r="P110" s="26"/>
      <c r="Q110" s="26"/>
      <c r="R110" s="26"/>
      <c r="T110" s="26"/>
      <c r="Y110" s="371"/>
      <c r="Z110" s="374"/>
    </row>
    <row r="111" spans="2:26" ht="19.5">
      <c r="B111" s="135"/>
      <c r="C111" s="133"/>
      <c r="D111" s="173"/>
      <c r="E111" s="173"/>
      <c r="F111" s="133"/>
      <c r="G111" s="173"/>
      <c r="H111" s="173"/>
      <c r="I111" s="26"/>
      <c r="J111" s="543" t="s">
        <v>581</v>
      </c>
      <c r="N111" s="26"/>
      <c r="O111" s="293" t="s">
        <v>206</v>
      </c>
      <c r="P111" s="349" t="s">
        <v>389</v>
      </c>
      <c r="Q111" s="233" t="s">
        <v>353</v>
      </c>
      <c r="R111" s="308" t="s">
        <v>390</v>
      </c>
      <c r="T111" s="26"/>
      <c r="Y111" s="371"/>
      <c r="Z111" s="374"/>
    </row>
    <row r="112" spans="2:26" ht="15.75">
      <c r="B112" s="135"/>
      <c r="C112" s="173"/>
      <c r="D112" s="24"/>
      <c r="E112" s="173"/>
      <c r="F112" s="29"/>
      <c r="G112" s="24"/>
      <c r="H112" s="173"/>
      <c r="I112" s="26"/>
      <c r="J112" s="355" t="s">
        <v>583</v>
      </c>
      <c r="N112" s="26"/>
      <c r="O112" s="231"/>
      <c r="P112" s="354" t="s">
        <v>388</v>
      </c>
      <c r="Q112" s="243" t="s">
        <v>330</v>
      </c>
      <c r="R112" s="354" t="s">
        <v>391</v>
      </c>
      <c r="T112" s="26"/>
      <c r="Y112" s="371"/>
      <c r="Z112" s="374"/>
    </row>
    <row r="113" spans="2:26" ht="15.75">
      <c r="B113" s="135"/>
      <c r="C113" s="173"/>
      <c r="D113" s="24"/>
      <c r="E113" s="173"/>
      <c r="F113" s="29"/>
      <c r="G113" s="24"/>
      <c r="H113" s="173"/>
      <c r="I113" s="26"/>
      <c r="J113" s="348" t="s">
        <v>381</v>
      </c>
      <c r="K113" s="560">
        <f>S62</f>
        <v>0.6030000000000001</v>
      </c>
      <c r="L113" s="533" t="s">
        <v>351</v>
      </c>
      <c r="M113" s="93"/>
      <c r="N113" s="26"/>
      <c r="O113" s="315" t="s">
        <v>263</v>
      </c>
      <c r="P113" s="351">
        <f aca="true" t="shared" si="13" ref="P113:P118">K113</f>
        <v>0.6030000000000001</v>
      </c>
      <c r="Q113" s="351">
        <f aca="true" t="shared" si="14" ref="Q113:Q118">P113/$P$119</f>
        <v>0.04475665358922703</v>
      </c>
      <c r="R113" s="125">
        <f>Q113*100</f>
        <v>4.4756653589227025</v>
      </c>
      <c r="T113" s="26"/>
      <c r="Y113" s="371"/>
      <c r="Z113" s="374"/>
    </row>
    <row r="114" spans="2:26" ht="15.75">
      <c r="B114" s="135"/>
      <c r="C114" s="173"/>
      <c r="D114" s="525"/>
      <c r="E114" s="173"/>
      <c r="F114" s="173"/>
      <c r="G114" s="517"/>
      <c r="H114" s="173"/>
      <c r="I114" s="26"/>
      <c r="J114" s="244" t="s">
        <v>578</v>
      </c>
      <c r="K114" s="365">
        <f>S68</f>
        <v>9.869857142857143</v>
      </c>
      <c r="L114" s="224" t="s">
        <v>580</v>
      </c>
      <c r="M114" s="239"/>
      <c r="N114" s="26"/>
      <c r="O114" s="315" t="s">
        <v>260</v>
      </c>
      <c r="P114" s="351">
        <f t="shared" si="13"/>
        <v>9.869857142857143</v>
      </c>
      <c r="Q114" s="351">
        <f t="shared" si="14"/>
        <v>0.7325734280564097</v>
      </c>
      <c r="R114" s="125">
        <f>Q114*100</f>
        <v>73.25734280564097</v>
      </c>
      <c r="T114" s="26"/>
      <c r="Y114" s="371"/>
      <c r="Z114" s="374"/>
    </row>
    <row r="115" spans="2:26" ht="15.75">
      <c r="B115" s="135"/>
      <c r="C115" s="173"/>
      <c r="D115" s="525"/>
      <c r="E115" s="173"/>
      <c r="F115" s="173"/>
      <c r="G115" s="525"/>
      <c r="H115" s="173"/>
      <c r="I115" s="26"/>
      <c r="J115" s="244" t="s">
        <v>565</v>
      </c>
      <c r="K115" s="531">
        <f>X25</f>
        <v>1.02</v>
      </c>
      <c r="L115" s="224" t="s">
        <v>371</v>
      </c>
      <c r="M115" s="239"/>
      <c r="N115" s="26"/>
      <c r="O115" s="315" t="s">
        <v>198</v>
      </c>
      <c r="P115" s="351">
        <f t="shared" si="13"/>
        <v>1.02</v>
      </c>
      <c r="Q115" s="351">
        <f t="shared" si="14"/>
        <v>0.07570777224048351</v>
      </c>
      <c r="R115" s="125">
        <f>Q115*100</f>
        <v>7.570777224048351</v>
      </c>
      <c r="T115" s="26"/>
      <c r="Y115" s="371"/>
      <c r="Z115" s="374"/>
    </row>
    <row r="116" spans="2:26" ht="15.75">
      <c r="B116" s="135"/>
      <c r="C116" s="26"/>
      <c r="D116" s="26"/>
      <c r="E116" s="26"/>
      <c r="F116" s="26"/>
      <c r="G116" s="26"/>
      <c r="H116" s="26"/>
      <c r="I116" s="26"/>
      <c r="J116" s="244" t="s">
        <v>570</v>
      </c>
      <c r="K116" s="531">
        <f>T108</f>
        <v>1.98</v>
      </c>
      <c r="L116" s="224" t="s">
        <v>375</v>
      </c>
      <c r="M116" s="239"/>
      <c r="N116" s="26"/>
      <c r="O116" s="453" t="s">
        <v>258</v>
      </c>
      <c r="P116" s="523">
        <f t="shared" si="13"/>
        <v>1.98</v>
      </c>
      <c r="Q116" s="523">
        <f t="shared" si="14"/>
        <v>0.14696214611387975</v>
      </c>
      <c r="R116" s="417">
        <f>Q116*100</f>
        <v>14.696214611387976</v>
      </c>
      <c r="T116" s="26"/>
      <c r="Y116" s="371"/>
      <c r="Z116" s="374"/>
    </row>
    <row r="117" spans="2:26" ht="15.75">
      <c r="B117" s="135"/>
      <c r="H117" s="26"/>
      <c r="I117" s="26"/>
      <c r="J117" s="244" t="s">
        <v>521</v>
      </c>
      <c r="K117" s="359">
        <f>S55</f>
        <v>0</v>
      </c>
      <c r="L117" s="224" t="s">
        <v>523</v>
      </c>
      <c r="M117" s="239"/>
      <c r="N117" s="26"/>
      <c r="O117" s="481" t="s">
        <v>249</v>
      </c>
      <c r="P117" s="416">
        <f t="shared" si="13"/>
        <v>0</v>
      </c>
      <c r="Q117" s="351">
        <f t="shared" si="14"/>
        <v>0</v>
      </c>
      <c r="R117" s="417">
        <f>Q117*100</f>
        <v>0</v>
      </c>
      <c r="T117" s="26"/>
      <c r="Y117" s="371"/>
      <c r="Z117" s="374"/>
    </row>
    <row r="118" spans="2:26" ht="15.75">
      <c r="B118" s="135"/>
      <c r="H118" s="26"/>
      <c r="I118" s="26"/>
      <c r="J118" s="313" t="s">
        <v>524</v>
      </c>
      <c r="K118" s="562">
        <f>S56</f>
        <v>0</v>
      </c>
      <c r="L118" s="237" t="s">
        <v>525</v>
      </c>
      <c r="M118" s="240"/>
      <c r="N118" s="26"/>
      <c r="O118" s="453" t="s">
        <v>247</v>
      </c>
      <c r="P118" s="559">
        <f t="shared" si="13"/>
        <v>0</v>
      </c>
      <c r="Q118" s="523">
        <f t="shared" si="14"/>
        <v>0</v>
      </c>
      <c r="R118" s="417">
        <f>Q118*100</f>
        <v>0</v>
      </c>
      <c r="T118" s="26"/>
      <c r="Y118" s="371"/>
      <c r="Z118" s="374"/>
    </row>
    <row r="119" spans="2:26" ht="12.75">
      <c r="B119" s="135"/>
      <c r="H119" s="26"/>
      <c r="I119" s="26"/>
      <c r="J119" s="26"/>
      <c r="K119" s="26"/>
      <c r="L119" s="26"/>
      <c r="M119" s="26"/>
      <c r="N119" s="26"/>
      <c r="P119" s="525">
        <f>SUM(P113:P118)</f>
        <v>13.472857142857142</v>
      </c>
      <c r="Q119" s="525">
        <f>SUM(Q113:Q118)</f>
        <v>1</v>
      </c>
      <c r="R119" s="561">
        <f>SUM(R113:R118)</f>
        <v>100</v>
      </c>
      <c r="T119" s="26"/>
      <c r="Y119" s="371"/>
      <c r="Z119" s="374"/>
    </row>
    <row r="120" spans="2:26" ht="12.75">
      <c r="B120" s="135"/>
      <c r="H120" s="26"/>
      <c r="I120" s="26"/>
      <c r="J120" s="26"/>
      <c r="K120" s="26"/>
      <c r="L120" s="26"/>
      <c r="M120" s="26"/>
      <c r="N120" s="26"/>
      <c r="T120" s="26"/>
      <c r="Y120" s="371"/>
      <c r="Z120" s="374"/>
    </row>
    <row r="121" spans="2:26" ht="12.75">
      <c r="B121" s="135"/>
      <c r="H121" s="26"/>
      <c r="I121" s="26"/>
      <c r="M121" s="26"/>
      <c r="N121" s="26"/>
      <c r="T121" s="26"/>
      <c r="Y121" s="371"/>
      <c r="Z121" s="374"/>
    </row>
    <row r="122" spans="2:26" ht="12.75">
      <c r="B122" s="135"/>
      <c r="H122" s="26"/>
      <c r="I122" s="26"/>
      <c r="M122" s="26"/>
      <c r="N122" s="26"/>
      <c r="T122" s="26"/>
      <c r="Y122" s="371"/>
      <c r="Z122" s="374"/>
    </row>
    <row r="123" spans="2:26" ht="15.75">
      <c r="B123" s="135"/>
      <c r="E123" s="243" t="s">
        <v>667</v>
      </c>
      <c r="H123" s="26"/>
      <c r="I123" s="26"/>
      <c r="J123" s="26"/>
      <c r="K123" s="26"/>
      <c r="L123" s="26"/>
      <c r="M123" s="26"/>
      <c r="N123" s="26"/>
      <c r="O123" s="221"/>
      <c r="T123" s="26"/>
      <c r="Y123" s="371"/>
      <c r="Z123" s="374"/>
    </row>
    <row r="124" spans="2:26" ht="15">
      <c r="B124" s="135"/>
      <c r="C124" s="221"/>
      <c r="D124" s="221"/>
      <c r="E124" s="224"/>
      <c r="F124" s="309"/>
      <c r="G124" s="26"/>
      <c r="H124" s="26"/>
      <c r="I124" s="26"/>
      <c r="J124" s="26"/>
      <c r="K124" s="26"/>
      <c r="L124" s="26"/>
      <c r="M124" s="26"/>
      <c r="N124" s="26"/>
      <c r="O124" s="26"/>
      <c r="P124" s="225"/>
      <c r="Q124" s="225"/>
      <c r="R124" s="225"/>
      <c r="S124" s="26"/>
      <c r="T124" s="26"/>
      <c r="Y124" s="371"/>
      <c r="Z124" s="374"/>
    </row>
    <row r="125" spans="2:26" ht="15">
      <c r="B125" s="135"/>
      <c r="C125" s="221"/>
      <c r="D125" s="221"/>
      <c r="E125" s="224"/>
      <c r="F125" s="309"/>
      <c r="G125" s="26"/>
      <c r="H125" s="26"/>
      <c r="I125" s="26"/>
      <c r="J125" s="26"/>
      <c r="K125" s="26"/>
      <c r="L125" s="26"/>
      <c r="M125" s="26"/>
      <c r="N125" s="26"/>
      <c r="O125" s="26"/>
      <c r="P125" s="225"/>
      <c r="Q125" s="225"/>
      <c r="R125" s="225"/>
      <c r="S125" s="26"/>
      <c r="T125" s="26"/>
      <c r="Y125" s="371"/>
      <c r="Z125" s="374"/>
    </row>
    <row r="126" spans="2:26" ht="15">
      <c r="B126" s="135"/>
      <c r="C126" s="221"/>
      <c r="D126" s="221"/>
      <c r="E126" s="224"/>
      <c r="F126" s="309"/>
      <c r="G126" s="26"/>
      <c r="H126" s="26"/>
      <c r="I126" s="26"/>
      <c r="J126" s="26"/>
      <c r="K126" s="26"/>
      <c r="L126" s="26"/>
      <c r="M126" s="26"/>
      <c r="N126" s="26"/>
      <c r="O126" s="26"/>
      <c r="P126" s="225"/>
      <c r="Q126" s="225"/>
      <c r="R126" s="225"/>
      <c r="S126" s="26"/>
      <c r="T126" s="26"/>
      <c r="Y126" s="371"/>
      <c r="Z126" s="374"/>
    </row>
    <row r="127" spans="2:26" ht="15">
      <c r="B127" s="135"/>
      <c r="C127" s="221"/>
      <c r="D127" s="221"/>
      <c r="E127" s="224"/>
      <c r="F127" s="309"/>
      <c r="G127" s="26"/>
      <c r="H127" s="26"/>
      <c r="I127" s="26"/>
      <c r="J127" s="26"/>
      <c r="K127" s="26"/>
      <c r="L127" s="26"/>
      <c r="M127" s="26"/>
      <c r="N127" s="26"/>
      <c r="O127" s="26"/>
      <c r="P127" s="225"/>
      <c r="Q127" s="225"/>
      <c r="R127" s="225"/>
      <c r="S127" s="26"/>
      <c r="T127" s="26"/>
      <c r="Y127" s="371"/>
      <c r="Z127" s="374"/>
    </row>
    <row r="128" spans="2:26" ht="13.5" thickBot="1">
      <c r="B128" s="200"/>
      <c r="C128" s="201"/>
      <c r="D128" s="201"/>
      <c r="E128" s="201"/>
      <c r="F128" s="201"/>
      <c r="G128" s="201"/>
      <c r="H128" s="201"/>
      <c r="I128" s="201"/>
      <c r="J128" s="201"/>
      <c r="K128" s="201"/>
      <c r="L128" s="201"/>
      <c r="M128" s="201"/>
      <c r="N128" s="201"/>
      <c r="O128" s="201"/>
      <c r="P128" s="201"/>
      <c r="Q128" s="201"/>
      <c r="R128" s="201"/>
      <c r="S128" s="201"/>
      <c r="T128" s="201"/>
      <c r="U128" s="201"/>
      <c r="V128" s="201"/>
      <c r="W128" s="201"/>
      <c r="X128" s="201"/>
      <c r="Y128" s="480"/>
      <c r="Z128" s="375"/>
    </row>
    <row r="129" ht="13.5" thickTop="1">
      <c r="Y129" s="372"/>
    </row>
    <row r="130" ht="12.75">
      <c r="Y130" s="372"/>
    </row>
    <row r="131" ht="12.75">
      <c r="Y131" s="372"/>
    </row>
    <row r="132" ht="13.5" thickBot="1">
      <c r="Y132" s="372"/>
    </row>
    <row r="133" spans="2:26" ht="13.5" thickTop="1">
      <c r="B133" s="128"/>
      <c r="C133" s="129"/>
      <c r="D133" s="129"/>
      <c r="E133" s="129"/>
      <c r="F133" s="129"/>
      <c r="G133" s="129"/>
      <c r="H133" s="129"/>
      <c r="I133" s="129"/>
      <c r="J133" s="129"/>
      <c r="K133" s="129"/>
      <c r="L133" s="129"/>
      <c r="M133" s="129"/>
      <c r="N133" s="129"/>
      <c r="O133" s="129"/>
      <c r="P133" s="129"/>
      <c r="Q133" s="129"/>
      <c r="R133" s="129"/>
      <c r="S133" s="129"/>
      <c r="T133" s="129"/>
      <c r="U133" s="129"/>
      <c r="V133" s="129"/>
      <c r="W133" s="129"/>
      <c r="X133" s="129"/>
      <c r="Y133" s="129"/>
      <c r="Z133" s="373">
        <v>4</v>
      </c>
    </row>
    <row r="134" spans="2:26" ht="15.75">
      <c r="B134" s="135"/>
      <c r="C134" s="679" t="s">
        <v>593</v>
      </c>
      <c r="D134" s="26"/>
      <c r="E134" s="26"/>
      <c r="F134" s="26"/>
      <c r="G134" s="26"/>
      <c r="H134" s="26"/>
      <c r="I134" s="26"/>
      <c r="J134" s="26"/>
      <c r="K134" s="26"/>
      <c r="L134" s="26"/>
      <c r="M134" s="26"/>
      <c r="N134" s="26"/>
      <c r="O134" s="26"/>
      <c r="P134" s="26"/>
      <c r="Q134" s="26"/>
      <c r="R134" s="26"/>
      <c r="S134" s="26"/>
      <c r="T134" s="26"/>
      <c r="U134" s="26"/>
      <c r="V134" s="26"/>
      <c r="W134" s="26"/>
      <c r="X134" s="26"/>
      <c r="Y134" s="26"/>
      <c r="Z134" s="374"/>
    </row>
    <row r="135" spans="2:26" ht="12.75">
      <c r="B135" s="135"/>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374"/>
    </row>
    <row r="136" spans="2:26" ht="12.75">
      <c r="B136" s="135"/>
      <c r="C136" s="26"/>
      <c r="D136" s="519" t="s">
        <v>666</v>
      </c>
      <c r="E136" s="621" t="s">
        <v>559</v>
      </c>
      <c r="F136" s="691" t="s">
        <v>669</v>
      </c>
      <c r="G136" s="692"/>
      <c r="H136" s="349" t="s">
        <v>671</v>
      </c>
      <c r="I136" s="349" t="s">
        <v>674</v>
      </c>
      <c r="J136" s="26"/>
      <c r="K136" s="26"/>
      <c r="L136" s="26"/>
      <c r="M136" s="26"/>
      <c r="N136" s="26"/>
      <c r="O136" s="26"/>
      <c r="P136" s="26"/>
      <c r="Q136" s="26"/>
      <c r="R136" s="26"/>
      <c r="S136" s="26"/>
      <c r="V136" s="507" t="s">
        <v>538</v>
      </c>
      <c r="W136" s="26">
        <v>1.2676392665824478E+22</v>
      </c>
      <c r="X136" s="26"/>
      <c r="Y136" s="26"/>
      <c r="Z136" s="374"/>
    </row>
    <row r="137" spans="2:26" ht="16.5">
      <c r="B137" s="135"/>
      <c r="C137" s="26"/>
      <c r="D137" s="520" t="s">
        <v>560</v>
      </c>
      <c r="E137" s="624" t="s">
        <v>560</v>
      </c>
      <c r="F137" s="693" t="s">
        <v>670</v>
      </c>
      <c r="G137" s="694"/>
      <c r="H137" s="354" t="s">
        <v>672</v>
      </c>
      <c r="I137" s="354" t="s">
        <v>672</v>
      </c>
      <c r="J137" s="26"/>
      <c r="K137" s="26"/>
      <c r="L137" s="26"/>
      <c r="M137" s="26"/>
      <c r="N137" s="26"/>
      <c r="O137" s="26"/>
      <c r="P137" s="26"/>
      <c r="Q137" s="26"/>
      <c r="R137" s="26"/>
      <c r="S137" s="26"/>
      <c r="V137" s="243" t="s">
        <v>594</v>
      </c>
      <c r="W137" s="689">
        <v>1969.7922739816918</v>
      </c>
      <c r="X137" s="224" t="s">
        <v>288</v>
      </c>
      <c r="Y137" s="26"/>
      <c r="Z137" s="374"/>
    </row>
    <row r="138" spans="2:26" ht="12.75">
      <c r="B138" s="135"/>
      <c r="C138" s="26"/>
      <c r="D138" s="521" t="s">
        <v>561</v>
      </c>
      <c r="E138" s="632" t="s">
        <v>562</v>
      </c>
      <c r="F138" s="349" t="s">
        <v>536</v>
      </c>
      <c r="G138" s="647" t="s">
        <v>537</v>
      </c>
      <c r="H138" s="306"/>
      <c r="I138" s="682">
        <f>G139-F139</f>
        <v>1664.4200517594695</v>
      </c>
      <c r="J138" s="26"/>
      <c r="K138" s="26"/>
      <c r="M138" s="695" t="s">
        <v>592</v>
      </c>
      <c r="N138" s="696"/>
      <c r="O138" s="696"/>
      <c r="P138" s="696"/>
      <c r="Q138" s="696"/>
      <c r="R138" s="696"/>
      <c r="S138" s="697"/>
      <c r="T138" s="26"/>
      <c r="V138" s="26"/>
      <c r="W138" s="26"/>
      <c r="X138" s="26"/>
      <c r="Z138" s="374"/>
    </row>
    <row r="139" spans="2:26" ht="15.75">
      <c r="B139" s="135"/>
      <c r="C139" s="79"/>
      <c r="D139" s="313" t="s">
        <v>449</v>
      </c>
      <c r="E139" s="646" t="s">
        <v>450</v>
      </c>
      <c r="F139" s="497">
        <f>K7</f>
        <v>305.3722222222222</v>
      </c>
      <c r="G139" s="681">
        <f>W137</f>
        <v>1969.7922739816918</v>
      </c>
      <c r="H139" s="315" t="s">
        <v>673</v>
      </c>
      <c r="I139" s="648" t="s">
        <v>542</v>
      </c>
      <c r="J139" s="349" t="s">
        <v>676</v>
      </c>
      <c r="K139" s="26"/>
      <c r="M139" s="419" t="s">
        <v>182</v>
      </c>
      <c r="N139" s="244" t="s">
        <v>679</v>
      </c>
      <c r="O139" s="244" t="s">
        <v>556</v>
      </c>
      <c r="P139" s="349" t="s">
        <v>680</v>
      </c>
      <c r="Q139" s="415" t="s">
        <v>182</v>
      </c>
      <c r="R139" s="221" t="s">
        <v>682</v>
      </c>
      <c r="S139" s="484" t="s">
        <v>679</v>
      </c>
      <c r="T139" s="26"/>
      <c r="V139" s="293" t="s">
        <v>548</v>
      </c>
      <c r="W139" s="234"/>
      <c r="X139" s="93"/>
      <c r="Z139" s="374"/>
    </row>
    <row r="140" spans="2:26" ht="19.5">
      <c r="B140" s="135"/>
      <c r="C140" s="306"/>
      <c r="D140" s="225" t="s">
        <v>678</v>
      </c>
      <c r="E140" s="354" t="s">
        <v>668</v>
      </c>
      <c r="F140" s="354" t="s">
        <v>539</v>
      </c>
      <c r="G140" s="354" t="s">
        <v>540</v>
      </c>
      <c r="H140" s="354" t="s">
        <v>541</v>
      </c>
      <c r="I140" s="225" t="s">
        <v>675</v>
      </c>
      <c r="J140" s="349"/>
      <c r="K140" s="26"/>
      <c r="M140" s="231"/>
      <c r="N140" s="231"/>
      <c r="O140" s="231"/>
      <c r="P140" s="306"/>
      <c r="Q140" s="512" t="s">
        <v>446</v>
      </c>
      <c r="R140" s="26"/>
      <c r="S140" s="138"/>
      <c r="T140" s="26"/>
      <c r="V140" s="248" t="s">
        <v>44</v>
      </c>
      <c r="W140" s="226" t="s">
        <v>610</v>
      </c>
      <c r="X140" s="239"/>
      <c r="Z140" s="374"/>
    </row>
    <row r="141" spans="2:30" ht="20.25" thickBot="1">
      <c r="B141" s="135"/>
      <c r="C141" s="306"/>
      <c r="D141" s="483" t="s">
        <v>526</v>
      </c>
      <c r="E141" s="354" t="s">
        <v>325</v>
      </c>
      <c r="F141" s="496" t="s">
        <v>277</v>
      </c>
      <c r="G141" s="496" t="s">
        <v>277</v>
      </c>
      <c r="H141" s="496" t="s">
        <v>277</v>
      </c>
      <c r="I141" s="243" t="s">
        <v>543</v>
      </c>
      <c r="J141" s="354" t="s">
        <v>544</v>
      </c>
      <c r="K141" s="26"/>
      <c r="M141" s="244" t="s">
        <v>210</v>
      </c>
      <c r="N141" s="244" t="s">
        <v>551</v>
      </c>
      <c r="O141" s="313" t="s">
        <v>555</v>
      </c>
      <c r="P141" s="354" t="s">
        <v>557</v>
      </c>
      <c r="Q141" s="350" t="s">
        <v>527</v>
      </c>
      <c r="R141" s="483" t="s">
        <v>526</v>
      </c>
      <c r="S141" s="484" t="s">
        <v>528</v>
      </c>
      <c r="T141" s="26"/>
      <c r="V141" s="230" t="s">
        <v>290</v>
      </c>
      <c r="W141" s="366">
        <f>F139</f>
        <v>305.3722222222222</v>
      </c>
      <c r="X141" s="119" t="s">
        <v>288</v>
      </c>
      <c r="Z141" s="374"/>
      <c r="AC141" s="645">
        <f>W141</f>
        <v>305.3722222222222</v>
      </c>
      <c r="AD141" s="37" t="s">
        <v>288</v>
      </c>
    </row>
    <row r="142" spans="2:30" ht="15.75">
      <c r="B142" s="135"/>
      <c r="C142" s="124" t="s">
        <v>30</v>
      </c>
      <c r="D142" s="124">
        <f aca="true" t="shared" si="15" ref="D142:D151">E97</f>
        <v>0.9</v>
      </c>
      <c r="E142" s="402">
        <v>0</v>
      </c>
      <c r="F142" s="124"/>
      <c r="G142" s="403"/>
      <c r="H142" s="403"/>
      <c r="I142" s="592"/>
      <c r="J142" s="409"/>
      <c r="K142" s="26"/>
      <c r="M142" s="509">
        <f aca="true" t="shared" si="16" ref="M142:M151">LHV_gas(C142)</f>
        <v>50.01</v>
      </c>
      <c r="N142" s="482">
        <f aca="true" t="shared" si="17" ref="N142:N151">D142*M142*1000</f>
        <v>45009</v>
      </c>
      <c r="O142" s="469">
        <f aca="true" t="shared" si="18" ref="O142:O151">GasMolarMass(C142)</f>
        <v>16.043</v>
      </c>
      <c r="P142" s="514">
        <f aca="true" t="shared" si="19" ref="P142:P151">D142*O142</f>
        <v>14.438699999999999</v>
      </c>
      <c r="Q142" s="513">
        <f>M142*O142*1000</f>
        <v>802310.4299999999</v>
      </c>
      <c r="R142" s="594">
        <f aca="true" t="shared" si="20" ref="R142:R151">D142</f>
        <v>0.9</v>
      </c>
      <c r="S142" s="425">
        <f>Q142*R142</f>
        <v>722079.387</v>
      </c>
      <c r="T142" s="26"/>
      <c r="V142" s="419" t="s">
        <v>188</v>
      </c>
      <c r="W142" s="576">
        <f>S152</f>
        <v>808296.3702</v>
      </c>
      <c r="X142" s="350" t="s">
        <v>528</v>
      </c>
      <c r="Z142" s="374"/>
      <c r="AC142">
        <f>W142/W143</f>
        <v>1664.4200518992552</v>
      </c>
      <c r="AD142" s="37" t="s">
        <v>288</v>
      </c>
    </row>
    <row r="143" spans="2:30" ht="15.75">
      <c r="B143" s="135"/>
      <c r="C143" s="459" t="s">
        <v>31</v>
      </c>
      <c r="D143" s="124">
        <f t="shared" si="15"/>
        <v>0.06</v>
      </c>
      <c r="E143" s="470">
        <v>0</v>
      </c>
      <c r="F143" s="459"/>
      <c r="G143" s="459"/>
      <c r="H143" s="459"/>
      <c r="I143" s="471"/>
      <c r="J143" s="591"/>
      <c r="K143" s="26"/>
      <c r="M143" s="509">
        <f t="shared" si="16"/>
        <v>47.79</v>
      </c>
      <c r="N143" s="482">
        <f t="shared" si="17"/>
        <v>2867.4</v>
      </c>
      <c r="O143" s="450">
        <f t="shared" si="18"/>
        <v>30.068</v>
      </c>
      <c r="P143" s="174">
        <f t="shared" si="19"/>
        <v>1.80408</v>
      </c>
      <c r="Q143" s="513">
        <f>M143*O143*1000</f>
        <v>1436949.72</v>
      </c>
      <c r="R143" s="594">
        <f t="shared" si="20"/>
        <v>0.06</v>
      </c>
      <c r="S143" s="425">
        <f>Q143*R143</f>
        <v>86216.9832</v>
      </c>
      <c r="T143" s="26"/>
      <c r="V143" s="244" t="s">
        <v>595</v>
      </c>
      <c r="W143" s="597">
        <f>J152</f>
        <v>485.63243952610406</v>
      </c>
      <c r="X143" s="350" t="s">
        <v>544</v>
      </c>
      <c r="Z143" s="374"/>
      <c r="AC143" s="645">
        <f>SUM(AC141:AC142)</f>
        <v>1969.7922741214775</v>
      </c>
      <c r="AD143" s="37" t="s">
        <v>288</v>
      </c>
    </row>
    <row r="144" spans="2:26" ht="19.5">
      <c r="B144" s="135"/>
      <c r="C144" s="461" t="s">
        <v>218</v>
      </c>
      <c r="D144" s="124">
        <f t="shared" si="15"/>
        <v>0</v>
      </c>
      <c r="E144" s="470">
        <v>0</v>
      </c>
      <c r="F144" s="81"/>
      <c r="G144" s="81"/>
      <c r="H144" s="81"/>
      <c r="I144" s="81"/>
      <c r="J144" s="81"/>
      <c r="K144" s="26"/>
      <c r="M144" s="509">
        <f t="shared" si="16"/>
        <v>46.36</v>
      </c>
      <c r="N144" s="482">
        <f t="shared" si="17"/>
        <v>0</v>
      </c>
      <c r="O144" s="450">
        <f t="shared" si="18"/>
        <v>44.094</v>
      </c>
      <c r="P144" s="174">
        <f t="shared" si="19"/>
        <v>0</v>
      </c>
      <c r="Q144" s="513">
        <f>M144*O144*1000</f>
        <v>2044197.84</v>
      </c>
      <c r="R144" s="595">
        <f t="shared" si="20"/>
        <v>0</v>
      </c>
      <c r="S144" s="425">
        <f>Q144*R144</f>
        <v>0</v>
      </c>
      <c r="T144" s="26"/>
      <c r="V144" s="361" t="s">
        <v>451</v>
      </c>
      <c r="W144" s="688">
        <f>W141+W142/W143</f>
        <v>1969.7922741214775</v>
      </c>
      <c r="X144" s="305" t="s">
        <v>288</v>
      </c>
      <c r="Z144" s="374"/>
    </row>
    <row r="145" spans="2:26" ht="13.5" thickBot="1">
      <c r="B145" s="135"/>
      <c r="C145" s="446" t="s">
        <v>221</v>
      </c>
      <c r="D145" s="124">
        <f t="shared" si="15"/>
        <v>0</v>
      </c>
      <c r="E145" s="470">
        <v>0</v>
      </c>
      <c r="F145" s="81"/>
      <c r="G145" s="81"/>
      <c r="H145" s="81"/>
      <c r="I145" s="81"/>
      <c r="J145" s="81"/>
      <c r="K145" s="26"/>
      <c r="M145" s="509">
        <f t="shared" si="16"/>
        <v>45.75</v>
      </c>
      <c r="N145" s="482">
        <f t="shared" si="17"/>
        <v>0</v>
      </c>
      <c r="O145" s="450">
        <f t="shared" si="18"/>
        <v>58.12</v>
      </c>
      <c r="P145" s="174">
        <f t="shared" si="19"/>
        <v>0</v>
      </c>
      <c r="Q145" s="513">
        <f>M145*O145*1000</f>
        <v>2658990</v>
      </c>
      <c r="R145" s="595">
        <f t="shared" si="20"/>
        <v>0</v>
      </c>
      <c r="S145" s="425">
        <f>Q145*R145</f>
        <v>0</v>
      </c>
      <c r="T145" s="26"/>
      <c r="Z145" s="374"/>
    </row>
    <row r="146" spans="2:26" ht="15.75">
      <c r="B146" s="135"/>
      <c r="C146" s="124" t="s">
        <v>32</v>
      </c>
      <c r="D146" s="124">
        <f t="shared" si="15"/>
        <v>0</v>
      </c>
      <c r="E146" s="563">
        <f aca="true" t="shared" si="21" ref="E146:E151">P113</f>
        <v>0.6030000000000001</v>
      </c>
      <c r="F146" s="482">
        <f>Gas_O2Enthalpy_tK(F139)</f>
        <v>8871.564129039987</v>
      </c>
      <c r="G146" s="482">
        <f>Gas_O2Enthalpy_tK(G139)</f>
        <v>66719.46919211526</v>
      </c>
      <c r="H146" s="482">
        <f>G146-F146</f>
        <v>57847.90506307527</v>
      </c>
      <c r="I146" s="501">
        <f>H146/$I$138</f>
        <v>34.755592497172735</v>
      </c>
      <c r="J146" s="503">
        <f>E146*I146</f>
        <v>20.957622275795163</v>
      </c>
      <c r="K146" s="26"/>
      <c r="M146" s="509">
        <f t="shared" si="16"/>
        <v>0</v>
      </c>
      <c r="N146" s="482">
        <f t="shared" si="17"/>
        <v>0</v>
      </c>
      <c r="O146" s="450">
        <f t="shared" si="18"/>
        <v>31.999</v>
      </c>
      <c r="P146" s="174">
        <f t="shared" si="19"/>
        <v>0</v>
      </c>
      <c r="Q146" s="513">
        <f aca="true" t="shared" si="22" ref="Q146:Q151">M146*O146*1000</f>
        <v>0</v>
      </c>
      <c r="R146" s="595">
        <f t="shared" si="20"/>
        <v>0</v>
      </c>
      <c r="S146" s="425">
        <f aca="true" t="shared" si="23" ref="S146:S151">Q146*R146</f>
        <v>0</v>
      </c>
      <c r="V146" s="293" t="s">
        <v>605</v>
      </c>
      <c r="W146" s="234"/>
      <c r="X146" s="93"/>
      <c r="Z146" s="374"/>
    </row>
    <row r="147" spans="2:26" ht="15.75">
      <c r="B147" s="135"/>
      <c r="C147" s="124" t="s">
        <v>33</v>
      </c>
      <c r="D147" s="124">
        <f t="shared" si="15"/>
        <v>0.04</v>
      </c>
      <c r="E147" s="563">
        <f t="shared" si="21"/>
        <v>9.869857142857143</v>
      </c>
      <c r="F147" s="482">
        <f>Gas_N2Enthalpy_tK(F139)</f>
        <v>8879.748113519987</v>
      </c>
      <c r="G147" s="482">
        <f>Gas_N2Enthalpy_tK(G139)</f>
        <v>63750.077622885794</v>
      </c>
      <c r="H147" s="482">
        <f>G147-F147</f>
        <v>54870.32950936581</v>
      </c>
      <c r="I147" s="501">
        <f>H147/$I$138</f>
        <v>32.96663570675084</v>
      </c>
      <c r="J147" s="504">
        <f>E147*I147</f>
        <v>325.3759849062441</v>
      </c>
      <c r="K147" s="26"/>
      <c r="M147" s="509">
        <f t="shared" si="16"/>
        <v>0</v>
      </c>
      <c r="N147" s="518">
        <f t="shared" si="17"/>
        <v>0</v>
      </c>
      <c r="O147" s="450">
        <f t="shared" si="18"/>
        <v>28.016</v>
      </c>
      <c r="P147" s="174">
        <f t="shared" si="19"/>
        <v>1.1206399999999999</v>
      </c>
      <c r="Q147" s="513">
        <f t="shared" si="22"/>
        <v>0</v>
      </c>
      <c r="R147" s="594">
        <f t="shared" si="20"/>
        <v>0.04</v>
      </c>
      <c r="S147" s="425">
        <f t="shared" si="23"/>
        <v>0</v>
      </c>
      <c r="T147" s="26"/>
      <c r="V147" s="332" t="s">
        <v>604</v>
      </c>
      <c r="W147" s="26"/>
      <c r="X147" s="239"/>
      <c r="Z147" s="374"/>
    </row>
    <row r="148" spans="2:26" ht="19.5">
      <c r="B148" s="135"/>
      <c r="C148" s="447" t="s">
        <v>198</v>
      </c>
      <c r="D148" s="124">
        <f t="shared" si="15"/>
        <v>0</v>
      </c>
      <c r="E148" s="351">
        <f t="shared" si="21"/>
        <v>1.02</v>
      </c>
      <c r="F148" s="472">
        <f>Gas_CO2Enthalpy_tK(F139)</f>
        <v>9636.789100559983</v>
      </c>
      <c r="G148" s="472">
        <f>Gas_CO2Enthalpy_tK(G139)</f>
        <v>99145.4291399514</v>
      </c>
      <c r="H148" s="482">
        <f>G148-F148</f>
        <v>89508.64003939142</v>
      </c>
      <c r="I148" s="501">
        <f>H148/$I$138</f>
        <v>53.7776746589728</v>
      </c>
      <c r="J148" s="504">
        <f>E148*I148</f>
        <v>54.853228152152255</v>
      </c>
      <c r="K148" s="26"/>
      <c r="M148" s="509">
        <f t="shared" si="16"/>
        <v>0</v>
      </c>
      <c r="N148" s="482">
        <f t="shared" si="17"/>
        <v>0</v>
      </c>
      <c r="O148" s="450">
        <f t="shared" si="18"/>
        <v>44.01</v>
      </c>
      <c r="P148" s="174">
        <f t="shared" si="19"/>
        <v>0</v>
      </c>
      <c r="Q148" s="513">
        <f t="shared" si="22"/>
        <v>0</v>
      </c>
      <c r="R148" s="595">
        <f t="shared" si="20"/>
        <v>0</v>
      </c>
      <c r="S148" s="425">
        <f t="shared" si="23"/>
        <v>0</v>
      </c>
      <c r="T148" s="26"/>
      <c r="V148" s="244" t="s">
        <v>546</v>
      </c>
      <c r="W148" s="225" t="s">
        <v>545</v>
      </c>
      <c r="X148" s="239"/>
      <c r="Z148" s="374"/>
    </row>
    <row r="149" spans="2:26" ht="19.5">
      <c r="B149" s="135"/>
      <c r="C149" s="447" t="s">
        <v>258</v>
      </c>
      <c r="D149" s="124">
        <f t="shared" si="15"/>
        <v>0</v>
      </c>
      <c r="E149" s="353">
        <f t="shared" si="21"/>
        <v>1.98</v>
      </c>
      <c r="F149" s="472">
        <f>Gas_H2OEnthalpy_tK(F139)</f>
        <v>10141.251608399985</v>
      </c>
      <c r="G149" s="472">
        <f>Gas_H2OEnthalpy_tK(G139)</f>
        <v>81127.59347706797</v>
      </c>
      <c r="H149" s="482">
        <f>G149-F149</f>
        <v>70986.341868668</v>
      </c>
      <c r="I149" s="502">
        <f>H149/$I$138</f>
        <v>42.64929504642044</v>
      </c>
      <c r="J149" s="504">
        <f>E149*I149</f>
        <v>84.44560419191247</v>
      </c>
      <c r="K149" s="26"/>
      <c r="M149" s="509">
        <f t="shared" si="16"/>
        <v>0</v>
      </c>
      <c r="N149" s="482">
        <f t="shared" si="17"/>
        <v>0</v>
      </c>
      <c r="O149" s="450">
        <f t="shared" si="18"/>
        <v>18.016</v>
      </c>
      <c r="P149" s="174">
        <f t="shared" si="19"/>
        <v>0</v>
      </c>
      <c r="Q149" s="513">
        <f t="shared" si="22"/>
        <v>0</v>
      </c>
      <c r="R149" s="596">
        <f t="shared" si="20"/>
        <v>0</v>
      </c>
      <c r="S149" s="473">
        <f t="shared" si="23"/>
        <v>0</v>
      </c>
      <c r="T149" s="26"/>
      <c r="V149" s="230" t="s">
        <v>451</v>
      </c>
      <c r="W149" s="505">
        <f>W144</f>
        <v>1969.7922741214775</v>
      </c>
      <c r="X149" s="119" t="s">
        <v>288</v>
      </c>
      <c r="Z149" s="374"/>
    </row>
    <row r="150" spans="2:26" ht="15">
      <c r="B150" s="135"/>
      <c r="C150" s="475" t="s">
        <v>249</v>
      </c>
      <c r="D150" s="459">
        <f t="shared" si="15"/>
        <v>0</v>
      </c>
      <c r="E150" s="353">
        <f t="shared" si="21"/>
        <v>0</v>
      </c>
      <c r="F150" s="399"/>
      <c r="G150" s="399"/>
      <c r="H150" s="600">
        <v>0</v>
      </c>
      <c r="I150" s="502">
        <f>H150/$I$138</f>
        <v>0</v>
      </c>
      <c r="J150" s="504">
        <f>E150*I150</f>
        <v>0</v>
      </c>
      <c r="K150" s="26"/>
      <c r="M150" s="509">
        <f t="shared" si="16"/>
        <v>10.112</v>
      </c>
      <c r="N150" s="482">
        <f t="shared" si="17"/>
        <v>0</v>
      </c>
      <c r="O150" s="450">
        <f t="shared" si="18"/>
        <v>28.01</v>
      </c>
      <c r="P150" s="174">
        <f t="shared" si="19"/>
        <v>0</v>
      </c>
      <c r="Q150" s="513">
        <f t="shared" si="22"/>
        <v>283237.12</v>
      </c>
      <c r="R150" s="595">
        <f t="shared" si="20"/>
        <v>0</v>
      </c>
      <c r="S150" s="425">
        <f t="shared" si="23"/>
        <v>0</v>
      </c>
      <c r="T150" s="26"/>
      <c r="V150" s="244" t="s">
        <v>535</v>
      </c>
      <c r="W150" s="505">
        <f>W137</f>
        <v>1969.7922739816918</v>
      </c>
      <c r="X150" s="119" t="s">
        <v>288</v>
      </c>
      <c r="Z150" s="374"/>
    </row>
    <row r="151" spans="2:26" ht="15.75" thickBot="1">
      <c r="B151" s="135"/>
      <c r="C151" s="456" t="s">
        <v>247</v>
      </c>
      <c r="D151" s="124">
        <f t="shared" si="15"/>
        <v>0</v>
      </c>
      <c r="E151" s="593">
        <f t="shared" si="21"/>
        <v>0</v>
      </c>
      <c r="F151" s="564" t="s">
        <v>18</v>
      </c>
      <c r="G151" s="602"/>
      <c r="H151" s="601">
        <v>0</v>
      </c>
      <c r="I151" s="603">
        <f>H151/$I$138</f>
        <v>0</v>
      </c>
      <c r="J151" s="504">
        <f>E151*I151</f>
        <v>0</v>
      </c>
      <c r="K151" s="26"/>
      <c r="M151" s="509">
        <f t="shared" si="16"/>
        <v>120.971</v>
      </c>
      <c r="N151" s="482">
        <f t="shared" si="17"/>
        <v>0</v>
      </c>
      <c r="O151" s="450">
        <f t="shared" si="18"/>
        <v>2.016</v>
      </c>
      <c r="P151" s="174">
        <f t="shared" si="19"/>
        <v>0</v>
      </c>
      <c r="Q151" s="513">
        <f t="shared" si="22"/>
        <v>243877.53600000002</v>
      </c>
      <c r="R151" s="595">
        <f t="shared" si="20"/>
        <v>0</v>
      </c>
      <c r="S151" s="425">
        <f t="shared" si="23"/>
        <v>0</v>
      </c>
      <c r="T151" s="26"/>
      <c r="V151" s="313" t="s">
        <v>546</v>
      </c>
      <c r="W151" s="506">
        <f>W144-W150</f>
        <v>1.3978569768369198E-07</v>
      </c>
      <c r="X151" s="305" t="s">
        <v>288</v>
      </c>
      <c r="Z151" s="374"/>
    </row>
    <row r="152" spans="2:26" ht="16.5" thickBot="1">
      <c r="B152" s="135"/>
      <c r="D152" s="680">
        <f>SUM(D142:D151)</f>
        <v>1</v>
      </c>
      <c r="E152" s="680">
        <f>SUM(E142:E151)</f>
        <v>13.472857142857142</v>
      </c>
      <c r="H152" s="390" t="s">
        <v>595</v>
      </c>
      <c r="I152" s="599" t="s">
        <v>677</v>
      </c>
      <c r="J152" s="598">
        <f>SUM(J146:J151)</f>
        <v>485.63243952610406</v>
      </c>
      <c r="K152" s="500" t="s">
        <v>544</v>
      </c>
      <c r="M152" s="26"/>
      <c r="N152" s="234"/>
      <c r="O152" s="26"/>
      <c r="P152" s="474"/>
      <c r="Q152" s="26"/>
      <c r="R152" s="420" t="s">
        <v>188</v>
      </c>
      <c r="S152" s="370">
        <f>SUM(S142:S151)</f>
        <v>808296.3702</v>
      </c>
      <c r="T152" s="510" t="s">
        <v>528</v>
      </c>
      <c r="V152" s="26"/>
      <c r="W152" s="26"/>
      <c r="X152" s="26"/>
      <c r="Z152" s="374"/>
    </row>
    <row r="153" spans="2:26" ht="19.5">
      <c r="B153" s="135"/>
      <c r="C153" s="26"/>
      <c r="E153" s="26"/>
      <c r="F153" s="26"/>
      <c r="G153" s="26"/>
      <c r="H153" s="26"/>
      <c r="M153" s="26"/>
      <c r="N153" s="575"/>
      <c r="O153" s="683" t="s">
        <v>681</v>
      </c>
      <c r="P153" s="517">
        <f>SUM(P142:P151)</f>
        <v>17.363419999999998</v>
      </c>
      <c r="Q153" s="618" t="s">
        <v>209</v>
      </c>
      <c r="R153" s="26"/>
      <c r="S153" s="26"/>
      <c r="T153" s="26"/>
      <c r="Z153" s="374"/>
    </row>
    <row r="154" spans="2:26" ht="20.25" thickBot="1">
      <c r="B154" s="135"/>
      <c r="C154" s="476"/>
      <c r="D154" s="26"/>
      <c r="E154" s="26"/>
      <c r="F154" s="26"/>
      <c r="G154" s="26"/>
      <c r="M154" s="26"/>
      <c r="N154" s="575"/>
      <c r="O154" s="684" t="s">
        <v>681</v>
      </c>
      <c r="P154" s="573">
        <f>P153</f>
        <v>17.363419999999998</v>
      </c>
      <c r="Q154" s="574" t="s">
        <v>197</v>
      </c>
      <c r="Z154" s="374"/>
    </row>
    <row r="155" spans="2:26" ht="12.75">
      <c r="B155" s="135"/>
      <c r="C155" s="37" t="s">
        <v>497</v>
      </c>
      <c r="D155" s="26"/>
      <c r="E155" s="26"/>
      <c r="F155" s="26"/>
      <c r="G155" s="26"/>
      <c r="V155" s="690" t="str">
        <f>IF(ABS(W151)&lt;0.001,"Iteration finished","Iteration required. Use Macro DeltaT")</f>
        <v>Iteration finished</v>
      </c>
      <c r="W155" s="690"/>
      <c r="X155" s="690"/>
      <c r="Z155" s="374"/>
    </row>
    <row r="156" spans="2:26" ht="15.75">
      <c r="B156" s="135"/>
      <c r="C156" s="242" t="s">
        <v>620</v>
      </c>
      <c r="D156" s="110">
        <f>K7</f>
        <v>305.3722222222222</v>
      </c>
      <c r="E156" s="37" t="s">
        <v>288</v>
      </c>
      <c r="F156" s="26"/>
      <c r="G156" s="26"/>
      <c r="L156" s="565"/>
      <c r="M156" s="566"/>
      <c r="Z156" s="374"/>
    </row>
    <row r="157" spans="2:26" ht="15.75">
      <c r="B157" s="135"/>
      <c r="C157" s="507" t="s">
        <v>538</v>
      </c>
      <c r="D157" s="26"/>
      <c r="E157" s="26"/>
      <c r="F157" s="26"/>
      <c r="G157" s="26"/>
      <c r="L157" s="221"/>
      <c r="O157" s="221" t="s">
        <v>188</v>
      </c>
      <c r="P157" s="221" t="s">
        <v>586</v>
      </c>
      <c r="Q157" s="26"/>
      <c r="Z157" s="374"/>
    </row>
    <row r="158" spans="2:26" ht="16.5">
      <c r="B158" s="135"/>
      <c r="C158" s="243" t="s">
        <v>594</v>
      </c>
      <c r="D158" s="508">
        <f>W137</f>
        <v>1969.7922739816918</v>
      </c>
      <c r="E158" s="37" t="s">
        <v>288</v>
      </c>
      <c r="F158" s="224"/>
      <c r="G158" s="27"/>
      <c r="H158" s="242" t="s">
        <v>595</v>
      </c>
      <c r="I158" s="604">
        <f>J152</f>
        <v>485.63243952610406</v>
      </c>
      <c r="J158" s="243" t="s">
        <v>544</v>
      </c>
      <c r="O158" s="221" t="s">
        <v>188</v>
      </c>
      <c r="P158" s="515">
        <f>S152</f>
        <v>808296.3702</v>
      </c>
      <c r="Q158" s="516" t="s">
        <v>528</v>
      </c>
      <c r="V158" s="552" t="s">
        <v>611</v>
      </c>
      <c r="W158" s="26"/>
      <c r="X158" s="26"/>
      <c r="Z158" s="374"/>
    </row>
    <row r="159" spans="2:26" ht="12.75">
      <c r="B159" s="135"/>
      <c r="F159" s="224"/>
      <c r="G159" s="26"/>
      <c r="H159" s="243" t="s">
        <v>553</v>
      </c>
      <c r="I159" s="619">
        <f>W43</f>
        <v>0.947817</v>
      </c>
      <c r="J159" s="224" t="s">
        <v>552</v>
      </c>
      <c r="O159" s="483" t="s">
        <v>584</v>
      </c>
      <c r="P159" s="571">
        <f>P153</f>
        <v>17.363419999999998</v>
      </c>
      <c r="Q159" s="572" t="s">
        <v>585</v>
      </c>
      <c r="V159" s="293" t="s">
        <v>549</v>
      </c>
      <c r="W159" s="234"/>
      <c r="X159" s="93"/>
      <c r="Z159" s="374"/>
    </row>
    <row r="160" spans="2:26" ht="16.5" thickBot="1">
      <c r="B160" s="135"/>
      <c r="F160" s="26"/>
      <c r="G160" s="26"/>
      <c r="H160" s="242" t="s">
        <v>595</v>
      </c>
      <c r="I160" s="604">
        <f>I158*I159</f>
        <v>460.2906819343134</v>
      </c>
      <c r="J160" s="243" t="s">
        <v>596</v>
      </c>
      <c r="O160" s="685" t="s">
        <v>188</v>
      </c>
      <c r="P160" s="686">
        <f>P158/P159</f>
        <v>46551.679922503754</v>
      </c>
      <c r="Q160" s="687" t="s">
        <v>550</v>
      </c>
      <c r="S160" s="26"/>
      <c r="V160" s="323" t="s">
        <v>613</v>
      </c>
      <c r="W160" s="228">
        <f>W144</f>
        <v>1969.7922741214775</v>
      </c>
      <c r="X160" s="119" t="s">
        <v>288</v>
      </c>
      <c r="Z160" s="374"/>
    </row>
    <row r="161" spans="2:26" ht="17.25" thickBot="1" thickTop="1">
      <c r="B161" s="135"/>
      <c r="F161" s="26"/>
      <c r="G161" s="26"/>
      <c r="H161" s="221" t="s">
        <v>553</v>
      </c>
      <c r="I161" s="91">
        <v>1.8</v>
      </c>
      <c r="J161" s="133" t="s">
        <v>547</v>
      </c>
      <c r="L161" s="577"/>
      <c r="M161" s="578" t="s">
        <v>591</v>
      </c>
      <c r="N161" s="579"/>
      <c r="S161" s="26"/>
      <c r="V161" s="615" t="s">
        <v>614</v>
      </c>
      <c r="W161" s="616">
        <f>W160-Kelv</f>
        <v>1696.6422741214774</v>
      </c>
      <c r="X161" s="617" t="s">
        <v>534</v>
      </c>
      <c r="Y161" s="37" t="s">
        <v>611</v>
      </c>
      <c r="Z161" s="374"/>
    </row>
    <row r="162" spans="2:26" ht="16.5" thickTop="1">
      <c r="B162" s="135"/>
      <c r="F162" s="26"/>
      <c r="H162" s="242" t="s">
        <v>595</v>
      </c>
      <c r="I162" s="604">
        <f>I160/I161</f>
        <v>255.717045519063</v>
      </c>
      <c r="J162" s="243" t="s">
        <v>597</v>
      </c>
      <c r="L162" s="580"/>
      <c r="M162" s="581" t="s">
        <v>520</v>
      </c>
      <c r="N162" s="582"/>
      <c r="O162" s="565" t="s">
        <v>558</v>
      </c>
      <c r="P162" s="568">
        <f>W40</f>
        <v>0.429923</v>
      </c>
      <c r="Q162" s="567" t="s">
        <v>180</v>
      </c>
      <c r="S162" s="26"/>
      <c r="V162" s="323" t="s">
        <v>613</v>
      </c>
      <c r="W162" s="228">
        <f>W160*1.8</f>
        <v>3545.6260934186594</v>
      </c>
      <c r="X162" s="119" t="s">
        <v>547</v>
      </c>
      <c r="Z162" s="374"/>
    </row>
    <row r="163" spans="2:26" ht="16.5" thickBot="1">
      <c r="B163" s="135"/>
      <c r="F163" s="26"/>
      <c r="H163" s="243" t="s">
        <v>598</v>
      </c>
      <c r="I163" s="123">
        <f>W42</f>
        <v>2.20462</v>
      </c>
      <c r="J163" s="224" t="s">
        <v>599</v>
      </c>
      <c r="L163" s="580"/>
      <c r="M163" s="581" t="s">
        <v>180</v>
      </c>
      <c r="N163" s="582"/>
      <c r="O163" s="221" t="s">
        <v>188</v>
      </c>
      <c r="P163" s="515">
        <f>P160</f>
        <v>46551.679922503754</v>
      </c>
      <c r="Q163" s="516" t="s">
        <v>587</v>
      </c>
      <c r="R163" s="5">
        <f>P162</f>
        <v>0.429923</v>
      </c>
      <c r="S163" s="569" t="s">
        <v>588</v>
      </c>
      <c r="V163" s="318" t="s">
        <v>615</v>
      </c>
      <c r="W163" s="590">
        <f>W162-Rank</f>
        <v>3085.9560934186593</v>
      </c>
      <c r="X163" s="305" t="s">
        <v>189</v>
      </c>
      <c r="Z163" s="374"/>
    </row>
    <row r="164" spans="2:26" ht="17.25" thickBot="1" thickTop="1">
      <c r="B164" s="135"/>
      <c r="F164" s="26"/>
      <c r="H164" s="605" t="s">
        <v>595</v>
      </c>
      <c r="I164" s="606">
        <f>I162/I163</f>
        <v>115.9914386692777</v>
      </c>
      <c r="J164" s="607" t="s">
        <v>502</v>
      </c>
      <c r="L164" s="583" t="s">
        <v>30</v>
      </c>
      <c r="M164" s="584">
        <v>21500.019307</v>
      </c>
      <c r="N164" s="582"/>
      <c r="O164" s="221" t="s">
        <v>188</v>
      </c>
      <c r="P164" s="515">
        <f>P163*R163</f>
        <v>20013.63788732258</v>
      </c>
      <c r="Q164" s="516" t="s">
        <v>554</v>
      </c>
      <c r="S164" s="569"/>
      <c r="Z164" s="374"/>
    </row>
    <row r="165" spans="2:26" ht="16.5" thickTop="1">
      <c r="B165" s="135"/>
      <c r="F165" s="26"/>
      <c r="H165" s="91"/>
      <c r="I165" s="224"/>
      <c r="J165" s="26"/>
      <c r="L165" s="585" t="s">
        <v>31</v>
      </c>
      <c r="M165" s="586">
        <v>20547.739862</v>
      </c>
      <c r="N165" s="582"/>
      <c r="R165" s="173"/>
      <c r="S165" s="570"/>
      <c r="Z165" s="374"/>
    </row>
    <row r="166" spans="2:26" ht="16.5" thickBot="1">
      <c r="B166" s="135"/>
      <c r="L166" s="587" t="s">
        <v>188</v>
      </c>
      <c r="M166" s="588">
        <v>347502</v>
      </c>
      <c r="N166" s="589" t="s">
        <v>186</v>
      </c>
      <c r="O166" s="483" t="s">
        <v>584</v>
      </c>
      <c r="P166" s="571">
        <f>P154</f>
        <v>17.363419999999998</v>
      </c>
      <c r="Q166" s="572" t="s">
        <v>589</v>
      </c>
      <c r="R166" s="173"/>
      <c r="S166" s="570"/>
      <c r="T166" s="173"/>
      <c r="U166" s="173"/>
      <c r="V166" s="640" t="s">
        <v>591</v>
      </c>
      <c r="W166" s="641"/>
      <c r="X166" s="641"/>
      <c r="Z166" s="374"/>
    </row>
    <row r="167" spans="2:26" ht="17.25" thickBot="1" thickTop="1">
      <c r="B167" s="135"/>
      <c r="F167" s="26"/>
      <c r="I167" s="224"/>
      <c r="O167" s="221" t="s">
        <v>188</v>
      </c>
      <c r="P167" s="515">
        <f>P164</f>
        <v>20013.63788732258</v>
      </c>
      <c r="Q167" s="516" t="s">
        <v>606</v>
      </c>
      <c r="R167" s="517">
        <f>P166</f>
        <v>17.363419999999998</v>
      </c>
      <c r="S167" s="570" t="s">
        <v>612</v>
      </c>
      <c r="T167" s="173"/>
      <c r="U167" s="173"/>
      <c r="V167" s="642" t="s">
        <v>683</v>
      </c>
      <c r="W167" s="643">
        <v>3105.4897813087555</v>
      </c>
      <c r="X167" s="644" t="s">
        <v>41</v>
      </c>
      <c r="Z167" s="374"/>
    </row>
    <row r="168" spans="2:26" ht="16.5" thickTop="1">
      <c r="B168" s="135"/>
      <c r="F168" s="26"/>
      <c r="H168" s="613" t="s">
        <v>591</v>
      </c>
      <c r="I168" s="608"/>
      <c r="J168" s="611"/>
      <c r="O168" s="221" t="s">
        <v>188</v>
      </c>
      <c r="P168" s="515">
        <f>P167*R167</f>
        <v>347505.2003654946</v>
      </c>
      <c r="Q168" s="516" t="s">
        <v>590</v>
      </c>
      <c r="R168" s="173"/>
      <c r="S168" s="570"/>
      <c r="T168" s="173"/>
      <c r="U168" s="173"/>
      <c r="V168" s="642" t="s">
        <v>684</v>
      </c>
      <c r="W168" s="716">
        <f>W167-W163</f>
        <v>19.53368789009619</v>
      </c>
      <c r="X168" s="640" t="s">
        <v>41</v>
      </c>
      <c r="Z168" s="374"/>
    </row>
    <row r="169" spans="2:26" ht="16.5" thickBot="1">
      <c r="B169" s="135"/>
      <c r="F169" s="26"/>
      <c r="G169" s="26"/>
      <c r="H169" s="609" t="s">
        <v>595</v>
      </c>
      <c r="I169" s="610">
        <f>'Example 1'!D139</f>
        <v>115.23902267614677</v>
      </c>
      <c r="J169" s="612" t="s">
        <v>502</v>
      </c>
      <c r="O169" s="685" t="s">
        <v>188</v>
      </c>
      <c r="P169" s="686">
        <f>S152</f>
        <v>808296.3702</v>
      </c>
      <c r="Q169" s="687" t="s">
        <v>528</v>
      </c>
      <c r="R169" s="173"/>
      <c r="S169" s="570"/>
      <c r="T169" s="173"/>
      <c r="U169" s="173"/>
      <c r="V169" s="642" t="s">
        <v>684</v>
      </c>
      <c r="W169" s="716">
        <f>W168/1.8</f>
        <v>10.852048827831217</v>
      </c>
      <c r="X169" s="640" t="s">
        <v>534</v>
      </c>
      <c r="Z169" s="374"/>
    </row>
    <row r="170" spans="2:26" ht="13.5" thickTop="1">
      <c r="B170" s="135"/>
      <c r="F170" s="26"/>
      <c r="G170" s="26"/>
      <c r="H170" s="26"/>
      <c r="I170" s="26"/>
      <c r="J170" s="26"/>
      <c r="K170" s="26"/>
      <c r="L170" s="26"/>
      <c r="M170" s="26"/>
      <c r="N170" s="26"/>
      <c r="O170" s="26"/>
      <c r="P170" s="26"/>
      <c r="Q170" s="221"/>
      <c r="R170" s="515"/>
      <c r="S170" s="516"/>
      <c r="T170" s="173"/>
      <c r="U170" s="173"/>
      <c r="V170" s="173"/>
      <c r="Z170" s="374"/>
    </row>
    <row r="171" spans="2:26" ht="13.5" thickBot="1">
      <c r="B171" s="200"/>
      <c r="C171" s="201"/>
      <c r="D171" s="201"/>
      <c r="E171" s="201"/>
      <c r="F171" s="201"/>
      <c r="G171" s="201"/>
      <c r="H171" s="201"/>
      <c r="I171" s="201"/>
      <c r="J171" s="201"/>
      <c r="K171" s="201"/>
      <c r="L171" s="201"/>
      <c r="M171" s="201"/>
      <c r="N171" s="201"/>
      <c r="O171" s="201"/>
      <c r="P171" s="201"/>
      <c r="Q171" s="201"/>
      <c r="R171" s="201"/>
      <c r="S171" s="201"/>
      <c r="T171" s="201"/>
      <c r="U171" s="201"/>
      <c r="V171" s="201"/>
      <c r="W171" s="201"/>
      <c r="X171" s="201"/>
      <c r="Y171" s="201"/>
      <c r="Z171" s="375"/>
    </row>
    <row r="172" ht="13.5" thickTop="1"/>
    <row r="173" spans="20:22" ht="12.75">
      <c r="T173" s="173"/>
      <c r="U173" s="173"/>
      <c r="V173" s="173"/>
    </row>
  </sheetData>
  <sheetProtection/>
  <mergeCells count="4">
    <mergeCell ref="V155:X155"/>
    <mergeCell ref="F136:G136"/>
    <mergeCell ref="F137:G137"/>
    <mergeCell ref="M138:S138"/>
  </mergeCells>
  <conditionalFormatting sqref="V155:W155">
    <cfRule type="containsText" priority="1" dxfId="3" operator="containsText" text="Iteration required">
      <formula>NOT(ISERROR(SEARCH("Iteration required",V155)))</formula>
    </cfRule>
    <cfRule type="containsText" priority="2" dxfId="2" operator="containsText" text="Iteration finished">
      <formula>NOT(ISERROR(SEARCH("Iteration finished",V155)))</formula>
    </cfRule>
  </conditionalFormatting>
  <printOptions/>
  <pageMargins left="0.75" right="0.75" top="1" bottom="1" header="0.5" footer="0.5"/>
  <pageSetup horizontalDpi="600" verticalDpi="600" orientation="landscape" r:id="rId3"/>
  <ignoredErrors>
    <ignoredError sqref="E97:E102 E106 E103:E105" formula="1"/>
  </ignoredErrors>
  <drawing r:id="rId2"/>
  <legacyDrawing r:id="rId1"/>
</worksheet>
</file>

<file path=xl/worksheets/sheet2.xml><?xml version="1.0" encoding="utf-8"?>
<worksheet xmlns="http://schemas.openxmlformats.org/spreadsheetml/2006/main" xmlns:r="http://schemas.openxmlformats.org/officeDocument/2006/relationships">
  <sheetPr codeName="Sheet1"/>
  <dimension ref="B2:Z169"/>
  <sheetViews>
    <sheetView showGridLines="0" zoomScale="90" zoomScaleNormal="90" zoomScalePageLayoutView="0" workbookViewId="0" topLeftCell="A1">
      <selection activeCell="A1" sqref="A1"/>
    </sheetView>
  </sheetViews>
  <sheetFormatPr defaultColWidth="9.140625" defaultRowHeight="12.75"/>
  <cols>
    <col min="1" max="1" width="4.7109375" style="0" customWidth="1"/>
    <col min="3" max="3" width="11.28125" style="0" customWidth="1"/>
    <col min="5" max="5" width="13.28125" style="0" customWidth="1"/>
    <col min="8" max="8" width="13.00390625" style="0" customWidth="1"/>
    <col min="9" max="9" width="12.421875" style="0" customWidth="1"/>
    <col min="10" max="10" width="12.57421875" style="0" customWidth="1"/>
    <col min="11" max="11" width="14.57421875" style="0" customWidth="1"/>
    <col min="16" max="16" width="10.140625" style="0" customWidth="1"/>
    <col min="18" max="18" width="14.421875" style="0" customWidth="1"/>
    <col min="19" max="19" width="15.28125" style="0" customWidth="1"/>
    <col min="20" max="20" width="13.28125" style="0" customWidth="1"/>
    <col min="21" max="21" width="12.8515625" style="0" customWidth="1"/>
    <col min="22" max="22" width="12.28125" style="0" customWidth="1"/>
    <col min="23" max="23" width="12.00390625" style="0" customWidth="1"/>
    <col min="24" max="24" width="11.7109375" style="0" bestFit="1" customWidth="1"/>
    <col min="26" max="26" width="9.140625" style="372" customWidth="1"/>
  </cols>
  <sheetData>
    <row r="1" ht="13.5" thickBot="1"/>
    <row r="2" spans="2:26" ht="13.5" thickTop="1">
      <c r="B2" s="128"/>
      <c r="C2" s="129"/>
      <c r="D2" s="129"/>
      <c r="E2" s="129"/>
      <c r="F2" s="129"/>
      <c r="G2" s="129"/>
      <c r="H2" s="129"/>
      <c r="I2" s="129"/>
      <c r="J2" s="129"/>
      <c r="K2" s="129"/>
      <c r="L2" s="129"/>
      <c r="M2" s="129"/>
      <c r="N2" s="129"/>
      <c r="O2" s="129"/>
      <c r="P2" s="129"/>
      <c r="Q2" s="129"/>
      <c r="R2" s="129"/>
      <c r="S2" s="129"/>
      <c r="T2" s="129"/>
      <c r="U2" s="129"/>
      <c r="V2" s="129"/>
      <c r="W2" s="129"/>
      <c r="X2" s="129"/>
      <c r="Y2" s="129"/>
      <c r="Z2" s="373">
        <v>1</v>
      </c>
    </row>
    <row r="3" spans="2:26" ht="12.75">
      <c r="B3" s="135"/>
      <c r="C3" s="60" t="s">
        <v>151</v>
      </c>
      <c r="D3" s="26"/>
      <c r="E3" s="26"/>
      <c r="F3" s="26"/>
      <c r="G3" s="26"/>
      <c r="H3" s="26"/>
      <c r="I3" s="224" t="s">
        <v>459</v>
      </c>
      <c r="J3" s="26"/>
      <c r="K3" s="26"/>
      <c r="L3" s="26"/>
      <c r="M3" s="26"/>
      <c r="N3" s="26"/>
      <c r="O3" s="26"/>
      <c r="P3" s="26"/>
      <c r="Q3" s="26"/>
      <c r="R3" s="26"/>
      <c r="S3" s="26"/>
      <c r="T3" s="26"/>
      <c r="U3" s="26"/>
      <c r="V3" s="26"/>
      <c r="W3" s="26"/>
      <c r="X3" s="26"/>
      <c r="Y3" s="26"/>
      <c r="Z3" s="374"/>
    </row>
    <row r="4" spans="2:26" ht="12.75">
      <c r="B4" s="135"/>
      <c r="C4" s="224" t="s">
        <v>461</v>
      </c>
      <c r="D4" s="26"/>
      <c r="E4" s="26"/>
      <c r="F4" s="26"/>
      <c r="G4" s="26"/>
      <c r="H4" s="26"/>
      <c r="I4" s="26"/>
      <c r="J4" s="26"/>
      <c r="K4" s="26"/>
      <c r="L4" s="327" t="s">
        <v>3</v>
      </c>
      <c r="M4" s="26"/>
      <c r="N4" s="26"/>
      <c r="O4" s="26"/>
      <c r="P4" s="26"/>
      <c r="Q4" s="26"/>
      <c r="R4" s="26"/>
      <c r="S4" s="26"/>
      <c r="T4" s="326" t="s">
        <v>0</v>
      </c>
      <c r="U4" s="26"/>
      <c r="V4" s="26"/>
      <c r="W4" s="26"/>
      <c r="X4" s="26"/>
      <c r="Y4" s="26"/>
      <c r="Z4" s="374"/>
    </row>
    <row r="5" spans="2:26" ht="14.25" customHeight="1">
      <c r="B5" s="135"/>
      <c r="K5" s="117"/>
      <c r="L5" s="26"/>
      <c r="M5" s="117"/>
      <c r="N5" s="60"/>
      <c r="O5" s="26"/>
      <c r="P5" s="26"/>
      <c r="Q5" s="26"/>
      <c r="R5" s="26"/>
      <c r="S5" s="26"/>
      <c r="T5" s="26"/>
      <c r="U5" s="26"/>
      <c r="V5" s="26"/>
      <c r="W5" s="26"/>
      <c r="X5" s="26"/>
      <c r="Y5" s="26"/>
      <c r="Z5" s="374"/>
    </row>
    <row r="6" spans="2:26" ht="13.5" customHeight="1">
      <c r="B6" s="135"/>
      <c r="C6" s="325" t="s">
        <v>315</v>
      </c>
      <c r="D6" s="117"/>
      <c r="E6" s="117"/>
      <c r="F6" s="117"/>
      <c r="G6" s="117"/>
      <c r="H6" s="117"/>
      <c r="I6" s="117"/>
      <c r="J6" s="117"/>
      <c r="K6" s="246"/>
      <c r="L6" s="26" t="s">
        <v>4</v>
      </c>
      <c r="M6" s="26"/>
      <c r="N6" s="26"/>
      <c r="O6" s="26"/>
      <c r="P6" s="26"/>
      <c r="Q6" s="26"/>
      <c r="R6" s="26"/>
      <c r="S6" s="26"/>
      <c r="T6" s="26" t="s">
        <v>1</v>
      </c>
      <c r="U6" s="26"/>
      <c r="V6" s="26"/>
      <c r="W6" s="26"/>
      <c r="X6" s="26"/>
      <c r="Y6" s="26"/>
      <c r="Z6" s="374"/>
    </row>
    <row r="7" spans="2:26" ht="12.75" customHeight="1">
      <c r="B7" s="135"/>
      <c r="C7" s="325" t="s">
        <v>316</v>
      </c>
      <c r="D7" s="246"/>
      <c r="E7" s="246"/>
      <c r="F7" s="246"/>
      <c r="G7" s="246"/>
      <c r="H7" s="246"/>
      <c r="I7" s="246"/>
      <c r="J7" s="246"/>
      <c r="K7" s="246"/>
      <c r="L7" s="224" t="s">
        <v>322</v>
      </c>
      <c r="Q7" s="26"/>
      <c r="R7" s="26"/>
      <c r="S7" s="26"/>
      <c r="T7" s="26" t="s">
        <v>2</v>
      </c>
      <c r="U7" s="26"/>
      <c r="V7" s="26"/>
      <c r="W7" s="26"/>
      <c r="X7" s="26"/>
      <c r="Y7" s="26"/>
      <c r="Z7" s="374"/>
    </row>
    <row r="8" spans="2:26" ht="15.75">
      <c r="B8" s="135"/>
      <c r="C8" s="224" t="s">
        <v>317</v>
      </c>
      <c r="D8" s="246"/>
      <c r="E8" s="246"/>
      <c r="F8" s="246"/>
      <c r="G8" s="246"/>
      <c r="H8" s="26"/>
      <c r="I8" s="246"/>
      <c r="J8" s="246"/>
      <c r="K8" s="26"/>
      <c r="L8" s="309" t="s">
        <v>149</v>
      </c>
      <c r="Q8" s="26"/>
      <c r="R8" s="26"/>
      <c r="S8" s="26"/>
      <c r="T8" s="224" t="s">
        <v>364</v>
      </c>
      <c r="U8" s="46"/>
      <c r="V8" s="26"/>
      <c r="W8" s="26"/>
      <c r="X8" s="26"/>
      <c r="Y8" s="26"/>
      <c r="Z8" s="374"/>
    </row>
    <row r="9" spans="2:26" ht="12.75">
      <c r="B9" s="135"/>
      <c r="C9" s="26" t="s">
        <v>318</v>
      </c>
      <c r="D9" s="26"/>
      <c r="E9" s="26"/>
      <c r="F9" s="26"/>
      <c r="G9" s="26"/>
      <c r="H9" s="26"/>
      <c r="I9" s="26"/>
      <c r="J9" s="26"/>
      <c r="K9" s="26"/>
      <c r="L9" s="26" t="s">
        <v>63</v>
      </c>
      <c r="Q9" s="91"/>
      <c r="R9" s="91"/>
      <c r="S9" s="26"/>
      <c r="T9" s="46" t="s">
        <v>365</v>
      </c>
      <c r="U9" s="26"/>
      <c r="V9" s="26"/>
      <c r="W9" s="26"/>
      <c r="X9" s="26"/>
      <c r="Y9" s="26"/>
      <c r="Z9" s="374"/>
    </row>
    <row r="10" spans="2:26" ht="12.75">
      <c r="B10" s="135"/>
      <c r="I10" s="26"/>
      <c r="J10" s="26"/>
      <c r="K10" s="26"/>
      <c r="L10" s="328" t="s">
        <v>319</v>
      </c>
      <c r="Q10" s="309"/>
      <c r="R10" s="309"/>
      <c r="S10" s="26"/>
      <c r="T10" s="26" t="s">
        <v>7</v>
      </c>
      <c r="U10" s="26"/>
      <c r="V10" s="26"/>
      <c r="W10" s="26"/>
      <c r="X10" s="26"/>
      <c r="Y10" s="26"/>
      <c r="Z10" s="374"/>
    </row>
    <row r="11" spans="2:26" ht="12.75">
      <c r="B11" s="135"/>
      <c r="D11" s="26"/>
      <c r="E11" s="26"/>
      <c r="F11" s="26"/>
      <c r="G11" s="26"/>
      <c r="H11" s="26"/>
      <c r="L11" s="328" t="s">
        <v>320</v>
      </c>
      <c r="Q11" s="309"/>
      <c r="R11" s="309"/>
      <c r="S11" s="26"/>
      <c r="T11" s="26"/>
      <c r="U11" s="26"/>
      <c r="V11" s="26"/>
      <c r="W11" s="26"/>
      <c r="X11" s="26"/>
      <c r="Y11" s="26"/>
      <c r="Z11" s="374"/>
    </row>
    <row r="12" spans="2:26" ht="12.75">
      <c r="B12" s="135"/>
      <c r="D12" s="26"/>
      <c r="E12" s="26"/>
      <c r="F12" s="26"/>
      <c r="G12" s="26"/>
      <c r="H12" s="26"/>
      <c r="L12" s="328" t="s">
        <v>321</v>
      </c>
      <c r="Q12" s="309"/>
      <c r="R12" s="309"/>
      <c r="S12" s="26"/>
      <c r="T12" s="26"/>
      <c r="U12" s="26"/>
      <c r="V12" s="26"/>
      <c r="W12" s="26"/>
      <c r="X12" s="26"/>
      <c r="Y12" s="26"/>
      <c r="Z12" s="374"/>
    </row>
    <row r="13" spans="2:26" ht="12.75">
      <c r="B13" s="135"/>
      <c r="D13" s="26"/>
      <c r="E13" s="26"/>
      <c r="F13" s="26"/>
      <c r="G13" s="26"/>
      <c r="H13" s="26"/>
      <c r="Q13" s="309"/>
      <c r="R13" s="309"/>
      <c r="S13" s="26"/>
      <c r="T13" s="26" t="s">
        <v>67</v>
      </c>
      <c r="U13" s="26"/>
      <c r="V13" s="26"/>
      <c r="W13" s="26"/>
      <c r="X13" s="26"/>
      <c r="Y13" s="26"/>
      <c r="Z13" s="374"/>
    </row>
    <row r="14" spans="2:26" ht="12.75">
      <c r="B14" s="135"/>
      <c r="D14" s="26"/>
      <c r="E14" s="26"/>
      <c r="F14" s="26"/>
      <c r="G14" s="26"/>
      <c r="H14" s="26"/>
      <c r="L14" s="26"/>
      <c r="M14" s="26"/>
      <c r="N14" s="26"/>
      <c r="O14" s="26"/>
      <c r="P14" s="26"/>
      <c r="Q14" s="26"/>
      <c r="R14" s="26"/>
      <c r="S14" s="26"/>
      <c r="W14" s="26"/>
      <c r="X14" s="26"/>
      <c r="Y14" s="26"/>
      <c r="Z14" s="374"/>
    </row>
    <row r="15" spans="2:26" ht="12.75">
      <c r="B15" s="135"/>
      <c r="D15" s="26"/>
      <c r="E15" s="26"/>
      <c r="F15" s="26"/>
      <c r="G15" s="26"/>
      <c r="H15" s="26"/>
      <c r="M15" s="26"/>
      <c r="N15" s="26"/>
      <c r="O15" s="26"/>
      <c r="P15" s="26"/>
      <c r="Q15" s="26"/>
      <c r="R15" s="26"/>
      <c r="S15" s="26"/>
      <c r="X15" s="26"/>
      <c r="Y15" s="26"/>
      <c r="Z15" s="374"/>
    </row>
    <row r="16" spans="2:26" ht="12.75">
      <c r="B16" s="135"/>
      <c r="D16" s="26"/>
      <c r="E16" s="26"/>
      <c r="F16" s="26"/>
      <c r="G16" s="26"/>
      <c r="H16" s="26"/>
      <c r="M16" s="26"/>
      <c r="N16" s="26"/>
      <c r="O16" s="26"/>
      <c r="P16" s="26"/>
      <c r="Q16" s="26"/>
      <c r="R16" s="26"/>
      <c r="S16" s="26"/>
      <c r="T16" s="26"/>
      <c r="U16" s="26"/>
      <c r="V16" s="26"/>
      <c r="W16" s="26"/>
      <c r="X16" s="26"/>
      <c r="Y16" s="309"/>
      <c r="Z16" s="374"/>
    </row>
    <row r="17" spans="2:26" ht="12.75">
      <c r="B17" s="135"/>
      <c r="E17" s="26"/>
      <c r="F17" s="26"/>
      <c r="G17" s="26"/>
      <c r="H17" s="26"/>
      <c r="M17" s="26"/>
      <c r="N17" s="26"/>
      <c r="O17" s="26"/>
      <c r="P17" s="26"/>
      <c r="Q17" s="26"/>
      <c r="R17" s="26"/>
      <c r="S17" s="26"/>
      <c r="T17" s="26"/>
      <c r="Y17" s="26"/>
      <c r="Z17" s="374"/>
    </row>
    <row r="18" spans="2:26" ht="12.75">
      <c r="B18" s="135"/>
      <c r="C18" s="224" t="s">
        <v>323</v>
      </c>
      <c r="D18" s="26"/>
      <c r="E18" s="26"/>
      <c r="H18" s="26"/>
      <c r="I18" s="329" t="s">
        <v>160</v>
      </c>
      <c r="J18" s="309"/>
      <c r="K18" s="309"/>
      <c r="L18" s="309"/>
      <c r="M18" s="26"/>
      <c r="N18" s="26"/>
      <c r="P18" s="26"/>
      <c r="Q18" s="26"/>
      <c r="R18" s="26"/>
      <c r="S18" s="26"/>
      <c r="T18" s="26"/>
      <c r="Y18" s="26"/>
      <c r="Z18" s="374"/>
    </row>
    <row r="19" spans="2:26" ht="19.5">
      <c r="B19" s="135"/>
      <c r="C19" s="293" t="s">
        <v>206</v>
      </c>
      <c r="D19" s="301" t="s">
        <v>353</v>
      </c>
      <c r="E19" s="26"/>
      <c r="F19" s="37" t="s">
        <v>497</v>
      </c>
      <c r="I19" s="26"/>
      <c r="J19" s="317" t="s">
        <v>112</v>
      </c>
      <c r="K19" s="319" t="s">
        <v>113</v>
      </c>
      <c r="L19" s="315" t="s">
        <v>115</v>
      </c>
      <c r="M19" s="309"/>
      <c r="N19" s="309"/>
      <c r="P19" s="309"/>
      <c r="Q19" s="309"/>
      <c r="R19" s="309"/>
      <c r="S19" s="26"/>
      <c r="T19" s="26"/>
      <c r="Y19" s="26"/>
      <c r="Z19" s="374"/>
    </row>
    <row r="20" spans="2:26" ht="16.5" thickBot="1">
      <c r="B20" s="135"/>
      <c r="C20" s="84"/>
      <c r="D20" s="298" t="s">
        <v>325</v>
      </c>
      <c r="E20" s="26"/>
      <c r="F20" s="24" t="s">
        <v>45</v>
      </c>
      <c r="G20" s="208">
        <v>90</v>
      </c>
      <c r="H20" s="57" t="s">
        <v>41</v>
      </c>
      <c r="I20" s="81"/>
      <c r="J20" s="299" t="s">
        <v>8</v>
      </c>
      <c r="K20" s="88" t="s">
        <v>9</v>
      </c>
      <c r="L20" s="315" t="s">
        <v>332</v>
      </c>
      <c r="M20" s="26"/>
      <c r="N20" s="324" t="s">
        <v>337</v>
      </c>
      <c r="O20" s="26"/>
      <c r="P20" s="26"/>
      <c r="Q20" s="26"/>
      <c r="R20" s="26"/>
      <c r="S20" s="26"/>
      <c r="T20" s="26"/>
      <c r="U20" s="26"/>
      <c r="Y20" s="26"/>
      <c r="Z20" s="374"/>
    </row>
    <row r="21" spans="2:26" ht="15.75">
      <c r="B21" s="135"/>
      <c r="C21" s="298" t="s">
        <v>214</v>
      </c>
      <c r="D21" s="311">
        <v>0.9</v>
      </c>
      <c r="E21" s="26"/>
      <c r="H21" s="26"/>
      <c r="I21" s="124" t="s">
        <v>30</v>
      </c>
      <c r="J21" s="312">
        <v>1</v>
      </c>
      <c r="K21" s="320">
        <v>4</v>
      </c>
      <c r="L21" s="312">
        <v>0</v>
      </c>
      <c r="M21" s="26"/>
      <c r="O21" s="140" t="s">
        <v>339</v>
      </c>
      <c r="P21" s="309"/>
      <c r="Q21" s="309"/>
      <c r="R21" s="140" t="s">
        <v>360</v>
      </c>
      <c r="S21" s="309"/>
      <c r="T21" s="140" t="s">
        <v>372</v>
      </c>
      <c r="U21" s="309"/>
      <c r="V21" s="26"/>
      <c r="W21" s="26"/>
      <c r="X21" s="26"/>
      <c r="Y21" s="26"/>
      <c r="Z21" s="374"/>
    </row>
    <row r="22" spans="2:26" ht="15.75">
      <c r="B22" s="135"/>
      <c r="C22" s="300" t="s">
        <v>217</v>
      </c>
      <c r="D22" s="312">
        <v>0.06</v>
      </c>
      <c r="E22" s="26"/>
      <c r="F22" s="224" t="s">
        <v>458</v>
      </c>
      <c r="H22" s="26"/>
      <c r="I22" s="124" t="s">
        <v>31</v>
      </c>
      <c r="J22" s="312">
        <v>2</v>
      </c>
      <c r="K22" s="320">
        <v>6</v>
      </c>
      <c r="L22" s="312">
        <v>0</v>
      </c>
      <c r="M22" s="26"/>
      <c r="N22" s="87" t="s">
        <v>11</v>
      </c>
      <c r="O22" s="449">
        <f>J21+K21/4</f>
        <v>2</v>
      </c>
      <c r="P22" s="321" t="s">
        <v>333</v>
      </c>
      <c r="Q22" s="431" t="s">
        <v>335</v>
      </c>
      <c r="R22" s="164">
        <f>J21</f>
        <v>1</v>
      </c>
      <c r="S22" s="321" t="s">
        <v>336</v>
      </c>
      <c r="T22" s="164">
        <f>K21/2</f>
        <v>2</v>
      </c>
      <c r="U22" s="322" t="s">
        <v>10</v>
      </c>
      <c r="V22" s="26"/>
      <c r="W22" s="26"/>
      <c r="X22" s="26"/>
      <c r="Y22" s="26"/>
      <c r="Z22" s="374"/>
    </row>
    <row r="23" spans="2:26" ht="16.5" thickBot="1">
      <c r="B23" s="135"/>
      <c r="C23" s="300" t="s">
        <v>260</v>
      </c>
      <c r="D23" s="312">
        <v>0.04</v>
      </c>
      <c r="E23" s="26"/>
      <c r="F23" t="s">
        <v>457</v>
      </c>
      <c r="G23" s="208">
        <v>30</v>
      </c>
      <c r="H23" s="224" t="s">
        <v>346</v>
      </c>
      <c r="I23" s="315" t="s">
        <v>33</v>
      </c>
      <c r="J23" s="312">
        <v>0</v>
      </c>
      <c r="K23" s="320">
        <v>0</v>
      </c>
      <c r="L23" s="312">
        <v>0</v>
      </c>
      <c r="M23" s="26"/>
      <c r="N23" s="86" t="s">
        <v>12</v>
      </c>
      <c r="O23" s="124">
        <f>J22+K22/4</f>
        <v>3.5</v>
      </c>
      <c r="P23" s="316" t="s">
        <v>334</v>
      </c>
      <c r="Q23" s="432" t="s">
        <v>335</v>
      </c>
      <c r="R23" s="149">
        <f>J22</f>
        <v>2</v>
      </c>
      <c r="S23" s="316" t="s">
        <v>336</v>
      </c>
      <c r="T23" s="149">
        <f>K22/2</f>
        <v>3</v>
      </c>
      <c r="U23" s="296" t="s">
        <v>10</v>
      </c>
      <c r="W23" s="243" t="s">
        <v>18</v>
      </c>
      <c r="X23" s="26"/>
      <c r="Y23" s="26"/>
      <c r="Z23" s="374"/>
    </row>
    <row r="24" spans="2:26" ht="12.75">
      <c r="B24" s="135"/>
      <c r="C24" s="330" t="s">
        <v>326</v>
      </c>
      <c r="D24" s="91">
        <f>SUM(D21:D23)</f>
        <v>1</v>
      </c>
      <c r="E24" s="26"/>
      <c r="H24" s="26"/>
      <c r="I24" s="26"/>
      <c r="J24" s="26"/>
      <c r="K24" s="26"/>
      <c r="L24" s="26"/>
      <c r="M24" s="26"/>
      <c r="N24" s="26"/>
      <c r="O24" s="26"/>
      <c r="P24" s="26"/>
      <c r="Q24" s="26"/>
      <c r="R24" s="26"/>
      <c r="S24" s="26"/>
      <c r="T24" s="26"/>
      <c r="U24" s="26"/>
      <c r="V24" s="26"/>
      <c r="W24" s="26"/>
      <c r="X24" s="26"/>
      <c r="Y24" s="26"/>
      <c r="Z24" s="374"/>
    </row>
    <row r="25" spans="2:26" ht="12.75">
      <c r="B25" s="135"/>
      <c r="V25" s="26"/>
      <c r="W25" s="26"/>
      <c r="X25" s="26"/>
      <c r="Y25" s="26"/>
      <c r="Z25" s="374"/>
    </row>
    <row r="26" spans="2:26" ht="12.75">
      <c r="B26" s="135"/>
      <c r="C26" s="26"/>
      <c r="D26" s="26"/>
      <c r="E26" s="26"/>
      <c r="H26" s="26"/>
      <c r="I26" s="26"/>
      <c r="J26" s="26"/>
      <c r="K26" s="26"/>
      <c r="L26" s="26"/>
      <c r="M26" s="26"/>
      <c r="N26" s="26"/>
      <c r="O26" s="26"/>
      <c r="P26" s="26"/>
      <c r="Q26" s="26"/>
      <c r="R26" s="26"/>
      <c r="S26" s="26"/>
      <c r="T26" s="26"/>
      <c r="U26" s="26"/>
      <c r="V26" s="26"/>
      <c r="W26" s="26"/>
      <c r="X26" s="26"/>
      <c r="Y26" s="26"/>
      <c r="Z26" s="374"/>
    </row>
    <row r="27" spans="2:26" ht="12.75">
      <c r="B27" s="135"/>
      <c r="C27" s="333" t="s">
        <v>338</v>
      </c>
      <c r="D27" s="234"/>
      <c r="E27" s="234"/>
      <c r="F27" s="234"/>
      <c r="G27" s="93"/>
      <c r="H27" s="26"/>
      <c r="I27" s="293" t="s">
        <v>453</v>
      </c>
      <c r="J27" s="234"/>
      <c r="K27" s="93"/>
      <c r="L27" s="26"/>
      <c r="M27" s="26"/>
      <c r="O27" s="341" t="s">
        <v>387</v>
      </c>
      <c r="P27" s="342"/>
      <c r="Q27" s="342"/>
      <c r="R27" s="342"/>
      <c r="S27" s="343"/>
      <c r="U27" s="224" t="s">
        <v>329</v>
      </c>
      <c r="V27" s="26"/>
      <c r="Y27" s="26"/>
      <c r="Z27" s="374"/>
    </row>
    <row r="28" spans="2:26" ht="19.5">
      <c r="B28" s="135"/>
      <c r="C28" s="92" t="s">
        <v>384</v>
      </c>
      <c r="D28" s="224" t="s">
        <v>366</v>
      </c>
      <c r="E28" s="226"/>
      <c r="F28" s="226"/>
      <c r="G28" s="337"/>
      <c r="H28" s="26"/>
      <c r="I28" s="244" t="s">
        <v>380</v>
      </c>
      <c r="J28" s="224" t="s">
        <v>356</v>
      </c>
      <c r="K28" s="239"/>
      <c r="L28" s="26"/>
      <c r="M28" s="26"/>
      <c r="O28" s="323" t="s">
        <v>378</v>
      </c>
      <c r="P28" s="335" t="s">
        <v>386</v>
      </c>
      <c r="Q28" s="309"/>
      <c r="R28" s="309"/>
      <c r="S28" s="94"/>
      <c r="U28" s="293" t="s">
        <v>206</v>
      </c>
      <c r="V28" s="349" t="s">
        <v>389</v>
      </c>
      <c r="W28" s="233" t="s">
        <v>353</v>
      </c>
      <c r="X28" s="308" t="s">
        <v>390</v>
      </c>
      <c r="Y28" s="26"/>
      <c r="Z28" s="374"/>
    </row>
    <row r="29" spans="2:26" ht="18.75" customHeight="1">
      <c r="B29" s="135"/>
      <c r="C29" s="244" t="s">
        <v>340</v>
      </c>
      <c r="D29" s="91">
        <f>O22</f>
        <v>2</v>
      </c>
      <c r="E29" s="224" t="s">
        <v>347</v>
      </c>
      <c r="F29" s="26"/>
      <c r="G29" s="239"/>
      <c r="H29" s="26"/>
      <c r="I29" s="244" t="s">
        <v>343</v>
      </c>
      <c r="J29" s="243">
        <f>D39</f>
        <v>2.6130000000000004</v>
      </c>
      <c r="K29" s="119" t="s">
        <v>351</v>
      </c>
      <c r="L29" s="26"/>
      <c r="M29" s="26"/>
      <c r="O29" s="244" t="s">
        <v>367</v>
      </c>
      <c r="P29" s="91">
        <f>T22</f>
        <v>2</v>
      </c>
      <c r="Q29" s="224" t="s">
        <v>373</v>
      </c>
      <c r="R29" s="26"/>
      <c r="S29" s="94"/>
      <c r="U29" s="231"/>
      <c r="V29" s="314" t="s">
        <v>388</v>
      </c>
      <c r="W29" s="243" t="s">
        <v>330</v>
      </c>
      <c r="X29" s="354" t="s">
        <v>391</v>
      </c>
      <c r="Y29" s="26"/>
      <c r="Z29" s="374"/>
    </row>
    <row r="30" spans="2:26" ht="13.5" customHeight="1">
      <c r="B30" s="135"/>
      <c r="C30" s="292" t="s">
        <v>354</v>
      </c>
      <c r="D30" s="91">
        <f>D21</f>
        <v>0.9</v>
      </c>
      <c r="E30" s="224" t="s">
        <v>348</v>
      </c>
      <c r="F30" s="26"/>
      <c r="G30" s="239"/>
      <c r="H30" s="26"/>
      <c r="I30" s="244" t="s">
        <v>357</v>
      </c>
      <c r="J30" s="91">
        <f>D23</f>
        <v>0.04</v>
      </c>
      <c r="K30" s="119" t="s">
        <v>351</v>
      </c>
      <c r="L30" s="26"/>
      <c r="M30" s="26"/>
      <c r="O30" s="292" t="s">
        <v>354</v>
      </c>
      <c r="P30" s="91">
        <f>D21</f>
        <v>0.9</v>
      </c>
      <c r="Q30" s="224" t="s">
        <v>348</v>
      </c>
      <c r="R30" s="26"/>
      <c r="S30" s="94"/>
      <c r="U30" s="315" t="s">
        <v>198</v>
      </c>
      <c r="V30" s="86">
        <f>J39</f>
        <v>1.02</v>
      </c>
      <c r="W30" s="353">
        <f>V30/$V$34</f>
        <v>0.07570777224048351</v>
      </c>
      <c r="X30" s="125">
        <f>W30*100</f>
        <v>7.570777224048351</v>
      </c>
      <c r="Y30" s="26"/>
      <c r="Z30" s="374"/>
    </row>
    <row r="31" spans="2:26" s="46" customFormat="1" ht="15.75">
      <c r="B31" s="331"/>
      <c r="C31" s="244" t="s">
        <v>341</v>
      </c>
      <c r="D31" s="91">
        <f>O23</f>
        <v>3.5</v>
      </c>
      <c r="E31" s="224" t="s">
        <v>349</v>
      </c>
      <c r="F31" s="26"/>
      <c r="G31" s="239"/>
      <c r="H31" s="26"/>
      <c r="I31" s="313" t="s">
        <v>380</v>
      </c>
      <c r="J31" s="339">
        <f>J29*(79/21)+J30</f>
        <v>9.869857142857143</v>
      </c>
      <c r="K31" s="305" t="s">
        <v>351</v>
      </c>
      <c r="L31" s="26"/>
      <c r="M31" s="26"/>
      <c r="O31" s="244" t="s">
        <v>368</v>
      </c>
      <c r="P31" s="91">
        <f>T23</f>
        <v>3</v>
      </c>
      <c r="Q31" s="224" t="s">
        <v>374</v>
      </c>
      <c r="R31" s="26"/>
      <c r="S31" s="94"/>
      <c r="U31" s="315" t="s">
        <v>258</v>
      </c>
      <c r="V31" s="87">
        <f>P33</f>
        <v>1.98</v>
      </c>
      <c r="W31" s="353">
        <f>V31/$V$34</f>
        <v>0.14696214611387975</v>
      </c>
      <c r="X31" s="125">
        <f>W31*100</f>
        <v>14.696214611387976</v>
      </c>
      <c r="Y31" s="309"/>
      <c r="Z31" s="374"/>
    </row>
    <row r="32" spans="2:26" s="46" customFormat="1" ht="15.75">
      <c r="B32" s="331"/>
      <c r="C32" s="292" t="s">
        <v>355</v>
      </c>
      <c r="D32" s="74">
        <f>D22</f>
        <v>0.06</v>
      </c>
      <c r="E32" s="224" t="s">
        <v>350</v>
      </c>
      <c r="F32" s="26"/>
      <c r="G32" s="94"/>
      <c r="H32" s="309"/>
      <c r="I32" s="74"/>
      <c r="J32" s="309"/>
      <c r="K32" s="309"/>
      <c r="L32" s="309"/>
      <c r="M32" s="309"/>
      <c r="O32" s="292" t="s">
        <v>355</v>
      </c>
      <c r="P32" s="74">
        <f>D22</f>
        <v>0.06</v>
      </c>
      <c r="Q32" s="224" t="s">
        <v>350</v>
      </c>
      <c r="R32" s="26"/>
      <c r="S32" s="94"/>
      <c r="U32" s="315" t="s">
        <v>260</v>
      </c>
      <c r="V32" s="353">
        <f>J31</f>
        <v>9.869857142857143</v>
      </c>
      <c r="W32" s="353">
        <f>V32/$V$34</f>
        <v>0.7325734280564097</v>
      </c>
      <c r="X32" s="125">
        <f>W32*100</f>
        <v>73.25734280564097</v>
      </c>
      <c r="Y32" s="309"/>
      <c r="Z32" s="374"/>
    </row>
    <row r="33" spans="2:26" s="46" customFormat="1" ht="15.75">
      <c r="B33" s="331"/>
      <c r="C33" s="292" t="s">
        <v>383</v>
      </c>
      <c r="D33" s="340">
        <f>D29*D30+D31*D32</f>
        <v>2.0100000000000002</v>
      </c>
      <c r="E33" s="224" t="s">
        <v>351</v>
      </c>
      <c r="F33" s="309"/>
      <c r="G33" s="94"/>
      <c r="H33" s="309"/>
      <c r="I33" s="341" t="s">
        <v>359</v>
      </c>
      <c r="J33" s="342"/>
      <c r="K33" s="342"/>
      <c r="L33" s="342"/>
      <c r="M33" s="343"/>
      <c r="O33" s="318" t="s">
        <v>378</v>
      </c>
      <c r="P33" s="338">
        <f>P29*P30+P31*P32</f>
        <v>1.98</v>
      </c>
      <c r="Q33" s="237" t="s">
        <v>375</v>
      </c>
      <c r="R33" s="310"/>
      <c r="S33" s="240"/>
      <c r="U33" s="315" t="s">
        <v>263</v>
      </c>
      <c r="V33" s="87">
        <f>P39</f>
        <v>0.6030000000000001</v>
      </c>
      <c r="W33" s="353">
        <f>V33/$V$34</f>
        <v>0.04475665358922703</v>
      </c>
      <c r="X33" s="125">
        <f>W33*100</f>
        <v>4.4756653589227025</v>
      </c>
      <c r="Y33" s="309"/>
      <c r="Z33" s="374"/>
    </row>
    <row r="34" spans="2:26" s="46" customFormat="1" ht="19.5">
      <c r="B34" s="331"/>
      <c r="C34" s="83"/>
      <c r="D34" s="309"/>
      <c r="E34" s="309"/>
      <c r="F34" s="309"/>
      <c r="G34" s="94"/>
      <c r="H34" s="309"/>
      <c r="I34" s="244" t="s">
        <v>379</v>
      </c>
      <c r="J34" s="226" t="s">
        <v>361</v>
      </c>
      <c r="K34" s="309"/>
      <c r="L34" s="309"/>
      <c r="M34" s="94"/>
      <c r="U34" s="330" t="s">
        <v>326</v>
      </c>
      <c r="V34" s="123">
        <f>SUM(V30:V33)</f>
        <v>13.472857142857142</v>
      </c>
      <c r="X34" s="352">
        <f>SUM(X30:X33)</f>
        <v>100</v>
      </c>
      <c r="Y34" s="309"/>
      <c r="Z34" s="374"/>
    </row>
    <row r="35" spans="2:26" s="46" customFormat="1" ht="15.75">
      <c r="B35" s="331"/>
      <c r="C35" s="332" t="s">
        <v>358</v>
      </c>
      <c r="D35" s="309"/>
      <c r="E35" s="309"/>
      <c r="F35" s="309"/>
      <c r="G35" s="94"/>
      <c r="H35" s="309"/>
      <c r="I35" s="244" t="s">
        <v>362</v>
      </c>
      <c r="J35" s="91">
        <f>R22</f>
        <v>1</v>
      </c>
      <c r="K35" s="224" t="s">
        <v>369</v>
      </c>
      <c r="L35" s="26"/>
      <c r="M35" s="94"/>
      <c r="O35" s="341" t="s">
        <v>376</v>
      </c>
      <c r="P35" s="342"/>
      <c r="Q35" s="342"/>
      <c r="R35" s="342"/>
      <c r="S35" s="343"/>
      <c r="Y35" s="309"/>
      <c r="Z35" s="374"/>
    </row>
    <row r="36" spans="2:26" s="46" customFormat="1" ht="15.75">
      <c r="B36" s="331"/>
      <c r="C36" s="292" t="s">
        <v>382</v>
      </c>
      <c r="D36" s="224" t="s">
        <v>344</v>
      </c>
      <c r="E36" s="309"/>
      <c r="F36" s="309"/>
      <c r="G36" s="94"/>
      <c r="H36" s="309"/>
      <c r="I36" s="292" t="s">
        <v>354</v>
      </c>
      <c r="J36" s="91">
        <f>D21</f>
        <v>0.9</v>
      </c>
      <c r="K36" s="224" t="s">
        <v>348</v>
      </c>
      <c r="L36" s="26"/>
      <c r="M36" s="94"/>
      <c r="O36" s="292" t="s">
        <v>381</v>
      </c>
      <c r="P36" s="224" t="s">
        <v>377</v>
      </c>
      <c r="Q36" s="309"/>
      <c r="R36" s="309"/>
      <c r="S36" s="94"/>
      <c r="Y36" s="309"/>
      <c r="Z36" s="374"/>
    </row>
    <row r="37" spans="2:26" s="46" customFormat="1" ht="15.75">
      <c r="B37" s="331"/>
      <c r="C37" s="292" t="s">
        <v>342</v>
      </c>
      <c r="D37" s="74">
        <f>D33</f>
        <v>2.0100000000000002</v>
      </c>
      <c r="E37" s="224" t="s">
        <v>351</v>
      </c>
      <c r="F37" s="309"/>
      <c r="G37" s="94"/>
      <c r="H37" s="309"/>
      <c r="I37" s="244" t="s">
        <v>363</v>
      </c>
      <c r="J37" s="91">
        <f>R23</f>
        <v>2</v>
      </c>
      <c r="K37" s="224" t="s">
        <v>370</v>
      </c>
      <c r="L37" s="26"/>
      <c r="M37" s="94"/>
      <c r="O37" s="292" t="s">
        <v>342</v>
      </c>
      <c r="P37" s="243">
        <f>D33</f>
        <v>2.0100000000000002</v>
      </c>
      <c r="Q37" s="224" t="s">
        <v>351</v>
      </c>
      <c r="R37" s="309"/>
      <c r="S37" s="94"/>
      <c r="Y37" s="309"/>
      <c r="Z37" s="374"/>
    </row>
    <row r="38" spans="2:26" ht="15.75">
      <c r="B38" s="135"/>
      <c r="C38" s="292" t="s">
        <v>345</v>
      </c>
      <c r="D38" s="74">
        <f>G23/100</f>
        <v>0.3</v>
      </c>
      <c r="E38" s="224" t="s">
        <v>352</v>
      </c>
      <c r="F38" s="309"/>
      <c r="G38" s="94"/>
      <c r="H38" s="309"/>
      <c r="I38" s="292" t="s">
        <v>355</v>
      </c>
      <c r="J38" s="74">
        <f>D22</f>
        <v>0.06</v>
      </c>
      <c r="K38" s="224" t="s">
        <v>350</v>
      </c>
      <c r="L38" s="26"/>
      <c r="M38" s="94"/>
      <c r="O38" s="292" t="s">
        <v>345</v>
      </c>
      <c r="P38" s="74">
        <f>G23/100</f>
        <v>0.3</v>
      </c>
      <c r="Q38" s="224" t="s">
        <v>352</v>
      </c>
      <c r="R38" s="26"/>
      <c r="S38" s="239"/>
      <c r="Y38" s="26"/>
      <c r="Z38" s="374"/>
    </row>
    <row r="39" spans="2:26" ht="15.75">
      <c r="B39" s="135"/>
      <c r="C39" s="294" t="s">
        <v>382</v>
      </c>
      <c r="D39" s="338">
        <f>D37*(1+D38)</f>
        <v>2.6130000000000004</v>
      </c>
      <c r="E39" s="237" t="s">
        <v>351</v>
      </c>
      <c r="F39" s="238"/>
      <c r="G39" s="240"/>
      <c r="H39" s="26"/>
      <c r="I39" s="313" t="s">
        <v>379</v>
      </c>
      <c r="J39" s="338">
        <f>J35*J36+J37*J38</f>
        <v>1.02</v>
      </c>
      <c r="K39" s="237" t="s">
        <v>371</v>
      </c>
      <c r="L39" s="310"/>
      <c r="M39" s="240"/>
      <c r="N39" s="26"/>
      <c r="O39" s="294" t="s">
        <v>381</v>
      </c>
      <c r="P39" s="338">
        <f>P37*P38</f>
        <v>0.6030000000000001</v>
      </c>
      <c r="Q39" s="237" t="s">
        <v>351</v>
      </c>
      <c r="R39" s="238"/>
      <c r="S39" s="240"/>
      <c r="T39" s="26"/>
      <c r="U39" s="26"/>
      <c r="V39" s="26"/>
      <c r="W39" s="26"/>
      <c r="X39" s="26"/>
      <c r="Y39" s="26"/>
      <c r="Z39" s="374"/>
    </row>
    <row r="40" spans="2:26" ht="12.75">
      <c r="B40" s="135"/>
      <c r="C40" s="26"/>
      <c r="D40" s="26"/>
      <c r="E40" s="26"/>
      <c r="F40" s="26"/>
      <c r="G40" s="26"/>
      <c r="H40" s="26"/>
      <c r="I40" s="26"/>
      <c r="J40" s="26"/>
      <c r="K40" s="26"/>
      <c r="L40" s="26"/>
      <c r="M40" s="26"/>
      <c r="N40" s="26"/>
      <c r="O40" s="26"/>
      <c r="P40" s="26"/>
      <c r="Q40" s="26"/>
      <c r="R40" s="26"/>
      <c r="S40" s="26"/>
      <c r="T40" s="26"/>
      <c r="U40" s="26"/>
      <c r="V40" s="26"/>
      <c r="W40" s="26"/>
      <c r="X40" s="26"/>
      <c r="Y40" s="26"/>
      <c r="Z40" s="374"/>
    </row>
    <row r="41" spans="2:26" ht="12.75">
      <c r="B41" s="135"/>
      <c r="C41" s="26"/>
      <c r="D41" s="26"/>
      <c r="E41" s="26"/>
      <c r="F41" s="26"/>
      <c r="G41" s="26"/>
      <c r="H41" s="26"/>
      <c r="I41" s="26"/>
      <c r="J41" s="26"/>
      <c r="K41" s="26"/>
      <c r="L41" s="26"/>
      <c r="M41" s="26"/>
      <c r="N41" s="26"/>
      <c r="O41" s="26"/>
      <c r="P41" s="26"/>
      <c r="Q41" s="26"/>
      <c r="R41" s="26"/>
      <c r="S41" s="26"/>
      <c r="T41" s="26"/>
      <c r="U41" s="26"/>
      <c r="V41" s="26"/>
      <c r="W41" s="26"/>
      <c r="X41" s="26"/>
      <c r="Y41" s="26"/>
      <c r="Z41" s="374"/>
    </row>
    <row r="42" spans="2:26" ht="12.75">
      <c r="B42" s="135"/>
      <c r="C42" s="26"/>
      <c r="D42" s="26"/>
      <c r="E42" s="26"/>
      <c r="F42" s="26"/>
      <c r="G42" s="26"/>
      <c r="H42" s="26"/>
      <c r="I42" s="26"/>
      <c r="J42" s="26"/>
      <c r="K42" s="26"/>
      <c r="L42" s="26"/>
      <c r="M42" s="26"/>
      <c r="N42" s="26"/>
      <c r="O42" s="26"/>
      <c r="P42" s="26"/>
      <c r="Q42" s="26"/>
      <c r="R42" s="26"/>
      <c r="S42" s="26"/>
      <c r="T42" s="26"/>
      <c r="U42" s="26"/>
      <c r="V42" s="26"/>
      <c r="W42" s="26"/>
      <c r="X42" s="26"/>
      <c r="Y42" s="26"/>
      <c r="Z42" s="374"/>
    </row>
    <row r="43" spans="2:26" ht="13.5" thickBot="1">
      <c r="B43" s="200"/>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375"/>
    </row>
    <row r="44" ht="13.5" thickTop="1"/>
    <row r="45" ht="12.75"/>
    <row r="46" ht="13.5" thickBot="1"/>
    <row r="47" spans="2:26" ht="13.5" thickTop="1">
      <c r="B47" s="128"/>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373">
        <v>2</v>
      </c>
    </row>
    <row r="48" spans="2:26" ht="12.75">
      <c r="B48" s="135"/>
      <c r="C48" s="91"/>
      <c r="D48" s="74" t="s">
        <v>18</v>
      </c>
      <c r="E48" s="91"/>
      <c r="F48" s="91"/>
      <c r="G48" s="91"/>
      <c r="H48" s="91"/>
      <c r="I48" s="91"/>
      <c r="J48" s="26"/>
      <c r="K48" s="26"/>
      <c r="L48" s="26"/>
      <c r="M48" s="26"/>
      <c r="N48" s="26"/>
      <c r="O48" s="26"/>
      <c r="P48" s="26"/>
      <c r="Q48" s="26"/>
      <c r="R48" s="26"/>
      <c r="S48" s="26"/>
      <c r="T48" s="26"/>
      <c r="U48" s="26"/>
      <c r="V48" s="26"/>
      <c r="W48" s="26"/>
      <c r="X48" s="26"/>
      <c r="Y48" s="26"/>
      <c r="Z48" s="374"/>
    </row>
    <row r="49" spans="2:26" ht="12.75">
      <c r="B49" s="135"/>
      <c r="C49" s="91"/>
      <c r="D49" s="91"/>
      <c r="E49" s="91"/>
      <c r="F49" s="91"/>
      <c r="G49" s="91"/>
      <c r="H49" s="91"/>
      <c r="I49" s="91"/>
      <c r="J49" s="26"/>
      <c r="K49" s="26"/>
      <c r="L49" s="26"/>
      <c r="M49" s="26"/>
      <c r="N49" s="26"/>
      <c r="O49" s="26"/>
      <c r="P49" s="26"/>
      <c r="Q49" s="26"/>
      <c r="R49" s="26"/>
      <c r="S49" s="26"/>
      <c r="T49" s="26"/>
      <c r="U49" s="26"/>
      <c r="V49" s="26"/>
      <c r="W49" s="26"/>
      <c r="X49" s="26"/>
      <c r="Y49" s="26"/>
      <c r="Z49" s="374"/>
    </row>
    <row r="50" spans="2:26" ht="12.75">
      <c r="B50" s="135"/>
      <c r="C50" s="344" t="s">
        <v>21</v>
      </c>
      <c r="D50" s="26"/>
      <c r="E50" s="26"/>
      <c r="F50" s="26"/>
      <c r="G50" s="26"/>
      <c r="H50" s="91"/>
      <c r="I50" s="91"/>
      <c r="J50" s="26"/>
      <c r="K50" s="26"/>
      <c r="L50" s="26"/>
      <c r="M50" s="26"/>
      <c r="N50" s="26"/>
      <c r="O50" s="26"/>
      <c r="P50" s="26"/>
      <c r="Q50" s="26"/>
      <c r="R50" s="26"/>
      <c r="S50" s="26"/>
      <c r="T50" s="26"/>
      <c r="U50" s="26"/>
      <c r="Y50" s="26"/>
      <c r="Z50" s="374"/>
    </row>
    <row r="51" spans="2:26" ht="12.75">
      <c r="B51" s="135"/>
      <c r="C51" s="326" t="s">
        <v>392</v>
      </c>
      <c r="D51" s="26"/>
      <c r="E51" s="26"/>
      <c r="F51" s="26"/>
      <c r="G51" s="26"/>
      <c r="H51" s="91"/>
      <c r="I51" s="91"/>
      <c r="J51" s="26"/>
      <c r="K51" s="26"/>
      <c r="L51" s="26"/>
      <c r="M51" s="26"/>
      <c r="N51" s="26"/>
      <c r="O51" s="26"/>
      <c r="P51" s="26"/>
      <c r="Q51" s="26"/>
      <c r="R51" s="26"/>
      <c r="S51" s="26"/>
      <c r="T51" s="26"/>
      <c r="U51" s="26"/>
      <c r="Y51" s="26"/>
      <c r="Z51" s="374"/>
    </row>
    <row r="52" spans="2:26" ht="12.75">
      <c r="B52" s="135"/>
      <c r="C52" s="26"/>
      <c r="D52" s="26"/>
      <c r="E52" s="26"/>
      <c r="F52" s="26"/>
      <c r="G52" s="26"/>
      <c r="H52" s="91"/>
      <c r="I52" s="91"/>
      <c r="J52" s="26"/>
      <c r="K52" s="293" t="s">
        <v>195</v>
      </c>
      <c r="L52" s="234"/>
      <c r="M52" s="234"/>
      <c r="N52" s="93"/>
      <c r="O52" s="26"/>
      <c r="P52" s="26"/>
      <c r="Q52" s="26"/>
      <c r="R52" s="346" t="s">
        <v>74</v>
      </c>
      <c r="S52" s="26"/>
      <c r="T52" s="26"/>
      <c r="U52" s="26"/>
      <c r="Y52" s="26"/>
      <c r="Z52" s="374"/>
    </row>
    <row r="53" spans="2:26" ht="18.75">
      <c r="B53" s="135"/>
      <c r="C53" s="224" t="s">
        <v>331</v>
      </c>
      <c r="D53" s="26"/>
      <c r="E53" s="26"/>
      <c r="F53" s="26"/>
      <c r="G53" s="224" t="s">
        <v>385</v>
      </c>
      <c r="H53" s="26"/>
      <c r="I53" s="26"/>
      <c r="J53" s="26"/>
      <c r="K53" s="244" t="s">
        <v>383</v>
      </c>
      <c r="L53" s="91">
        <f>D33</f>
        <v>2.0100000000000002</v>
      </c>
      <c r="M53" s="335" t="s">
        <v>397</v>
      </c>
      <c r="N53" s="336"/>
      <c r="O53" s="26"/>
      <c r="P53" s="26"/>
      <c r="Q53" s="26"/>
      <c r="R53" s="26"/>
      <c r="S53" s="26"/>
      <c r="T53" s="26"/>
      <c r="U53" s="26"/>
      <c r="Y53" s="26"/>
      <c r="Z53" s="374"/>
    </row>
    <row r="54" spans="2:26" ht="15.75">
      <c r="B54" s="135"/>
      <c r="C54" s="26" t="s">
        <v>14</v>
      </c>
      <c r="D54" s="26">
        <f>D21</f>
        <v>0.9</v>
      </c>
      <c r="E54" s="26" t="s">
        <v>16</v>
      </c>
      <c r="F54" s="26"/>
      <c r="G54" s="25" t="s">
        <v>22</v>
      </c>
      <c r="H54" s="26">
        <f>J39</f>
        <v>1.02</v>
      </c>
      <c r="I54" s="26" t="s">
        <v>16</v>
      </c>
      <c r="J54" s="26"/>
      <c r="K54" s="244" t="s">
        <v>393</v>
      </c>
      <c r="L54" s="224" t="s">
        <v>394</v>
      </c>
      <c r="M54" s="335"/>
      <c r="N54" s="336"/>
      <c r="O54" s="26"/>
      <c r="P54" s="26"/>
      <c r="Q54" s="224" t="s">
        <v>73</v>
      </c>
      <c r="R54" s="224"/>
      <c r="S54" s="364">
        <f>(D56+D57-0.04)*359</f>
        <v>4466.9857142857145</v>
      </c>
      <c r="T54" s="224" t="s">
        <v>75</v>
      </c>
      <c r="U54" s="224"/>
      <c r="V54" s="26"/>
      <c r="W54" s="26"/>
      <c r="X54" s="26"/>
      <c r="Y54" s="26"/>
      <c r="Z54" s="374"/>
    </row>
    <row r="55" spans="2:26" ht="18" customHeight="1">
      <c r="B55" s="135"/>
      <c r="C55" s="26" t="s">
        <v>15</v>
      </c>
      <c r="D55" s="26">
        <f>D22</f>
        <v>0.06</v>
      </c>
      <c r="E55" s="26" t="s">
        <v>16</v>
      </c>
      <c r="F55" s="26"/>
      <c r="G55" s="25" t="s">
        <v>24</v>
      </c>
      <c r="H55" s="26">
        <f>P33</f>
        <v>1.98</v>
      </c>
      <c r="I55" s="26" t="s">
        <v>16</v>
      </c>
      <c r="J55" s="26"/>
      <c r="K55" s="244" t="s">
        <v>393</v>
      </c>
      <c r="L55" s="123">
        <f>L53*(79/21)</f>
        <v>7.561428571428572</v>
      </c>
      <c r="M55" s="335" t="s">
        <v>398</v>
      </c>
      <c r="N55" s="336"/>
      <c r="O55" s="26"/>
      <c r="P55" s="26"/>
      <c r="Q55" s="243" t="s">
        <v>418</v>
      </c>
      <c r="R55" s="243" t="s">
        <v>424</v>
      </c>
      <c r="S55" s="365">
        <f>D56</f>
        <v>2.6130000000000004</v>
      </c>
      <c r="T55" s="224" t="s">
        <v>419</v>
      </c>
      <c r="U55" s="26"/>
      <c r="V55" s="26"/>
      <c r="W55" s="26"/>
      <c r="X55" s="26"/>
      <c r="Y55" s="26"/>
      <c r="Z55" s="374"/>
    </row>
    <row r="56" spans="2:26" ht="15.75">
      <c r="B56" s="135"/>
      <c r="C56" s="26" t="s">
        <v>17</v>
      </c>
      <c r="D56" s="345">
        <f>D39</f>
        <v>2.6130000000000004</v>
      </c>
      <c r="E56" s="26" t="s">
        <v>16</v>
      </c>
      <c r="F56" s="26"/>
      <c r="G56" s="26" t="s">
        <v>26</v>
      </c>
      <c r="H56" s="26">
        <f>P39</f>
        <v>0.6030000000000001</v>
      </c>
      <c r="I56" s="26" t="s">
        <v>16</v>
      </c>
      <c r="J56" s="346"/>
      <c r="K56" s="248"/>
      <c r="L56" s="26"/>
      <c r="M56" s="335"/>
      <c r="N56" s="336"/>
      <c r="O56" s="26"/>
      <c r="P56" s="26"/>
      <c r="Q56" s="243" t="s">
        <v>420</v>
      </c>
      <c r="R56" s="243" t="s">
        <v>425</v>
      </c>
      <c r="S56" s="365">
        <f>D57</f>
        <v>9.869857142857143</v>
      </c>
      <c r="T56" s="37" t="s">
        <v>421</v>
      </c>
      <c r="U56" s="26"/>
      <c r="V56" s="26"/>
      <c r="W56" s="26"/>
      <c r="X56" s="26"/>
      <c r="Y56" s="26"/>
      <c r="Z56" s="374"/>
    </row>
    <row r="57" spans="2:26" ht="15.75">
      <c r="B57" s="135"/>
      <c r="C57" s="26" t="s">
        <v>20</v>
      </c>
      <c r="D57" s="345">
        <f>J31</f>
        <v>9.869857142857143</v>
      </c>
      <c r="E57" s="26" t="s">
        <v>16</v>
      </c>
      <c r="F57" s="26"/>
      <c r="G57" s="26" t="s">
        <v>35</v>
      </c>
      <c r="H57" s="345">
        <f>J31</f>
        <v>9.869857142857143</v>
      </c>
      <c r="I57" s="26" t="s">
        <v>16</v>
      </c>
      <c r="J57" s="346"/>
      <c r="K57" s="244" t="s">
        <v>395</v>
      </c>
      <c r="L57" s="224" t="s">
        <v>396</v>
      </c>
      <c r="M57" s="335"/>
      <c r="N57" s="336"/>
      <c r="O57" s="26"/>
      <c r="P57" s="26"/>
      <c r="Q57" s="221" t="s">
        <v>422</v>
      </c>
      <c r="R57" s="243" t="s">
        <v>426</v>
      </c>
      <c r="S57" s="91">
        <f>D23</f>
        <v>0.04</v>
      </c>
      <c r="T57" s="224" t="s">
        <v>423</v>
      </c>
      <c r="U57" s="26"/>
      <c r="V57" s="26"/>
      <c r="W57" s="26"/>
      <c r="X57" s="26"/>
      <c r="Y57" s="26"/>
      <c r="Z57" s="374"/>
    </row>
    <row r="58" spans="2:26" ht="19.5">
      <c r="B58" s="135"/>
      <c r="C58" s="26"/>
      <c r="D58" s="345"/>
      <c r="E58" s="26"/>
      <c r="F58" s="26"/>
      <c r="G58" s="26"/>
      <c r="H58" s="26"/>
      <c r="I58" s="26"/>
      <c r="J58" s="346"/>
      <c r="K58" s="244" t="s">
        <v>383</v>
      </c>
      <c r="L58" s="91">
        <f>L53</f>
        <v>2.0100000000000002</v>
      </c>
      <c r="M58" s="335" t="s">
        <v>397</v>
      </c>
      <c r="N58" s="336"/>
      <c r="O58" s="26"/>
      <c r="P58" s="26"/>
      <c r="Q58" s="26"/>
      <c r="R58" s="225" t="s">
        <v>430</v>
      </c>
      <c r="S58" s="365">
        <f>S55+S56-S57</f>
        <v>12.442857142857143</v>
      </c>
      <c r="T58" s="91">
        <v>359</v>
      </c>
      <c r="V58" s="26"/>
      <c r="Z58" s="374"/>
    </row>
    <row r="59" spans="2:26" ht="19.5">
      <c r="B59" s="135"/>
      <c r="C59" s="26"/>
      <c r="D59" s="26"/>
      <c r="E59" s="26"/>
      <c r="F59" s="26"/>
      <c r="G59" s="26"/>
      <c r="H59" s="26"/>
      <c r="I59" s="26"/>
      <c r="J59" s="26"/>
      <c r="K59" s="244" t="s">
        <v>393</v>
      </c>
      <c r="L59" s="123">
        <f>L55</f>
        <v>7.561428571428572</v>
      </c>
      <c r="M59" s="335" t="s">
        <v>398</v>
      </c>
      <c r="N59" s="336"/>
      <c r="O59" s="26"/>
      <c r="P59" s="26"/>
      <c r="Q59" s="26"/>
      <c r="R59" s="225" t="s">
        <v>430</v>
      </c>
      <c r="S59" s="366">
        <f>S58*T58</f>
        <v>4466.9857142857145</v>
      </c>
      <c r="T59" s="325" t="s">
        <v>427</v>
      </c>
      <c r="U59" s="26"/>
      <c r="V59" s="26"/>
      <c r="W59" s="26"/>
      <c r="X59" s="26"/>
      <c r="Y59" s="26"/>
      <c r="Z59" s="374"/>
    </row>
    <row r="60" spans="2:26" ht="18.75">
      <c r="B60" s="135"/>
      <c r="C60" s="356" t="s">
        <v>409</v>
      </c>
      <c r="D60" s="234"/>
      <c r="E60" s="93"/>
      <c r="I60" s="26"/>
      <c r="J60" s="26"/>
      <c r="K60" s="244" t="s">
        <v>395</v>
      </c>
      <c r="L60" s="123">
        <f>L58+L59</f>
        <v>9.571428571428573</v>
      </c>
      <c r="M60" s="335" t="s">
        <v>399</v>
      </c>
      <c r="N60" s="336"/>
      <c r="O60" s="26"/>
      <c r="P60" s="26"/>
      <c r="Q60" s="26"/>
      <c r="T60" s="26"/>
      <c r="U60" s="26"/>
      <c r="V60" s="26"/>
      <c r="W60" s="26"/>
      <c r="X60" s="26"/>
      <c r="Y60" s="26"/>
      <c r="Z60" s="374"/>
    </row>
    <row r="61" spans="2:26" ht="12.75">
      <c r="B61" s="135"/>
      <c r="C61" s="231"/>
      <c r="D61" s="26"/>
      <c r="E61" s="239"/>
      <c r="I61" s="26"/>
      <c r="J61" s="346"/>
      <c r="K61" s="231"/>
      <c r="L61" s="26"/>
      <c r="M61" s="26"/>
      <c r="N61" s="239"/>
      <c r="O61" s="26"/>
      <c r="P61" s="26"/>
      <c r="Q61" s="26"/>
      <c r="R61" s="26"/>
      <c r="S61" s="26"/>
      <c r="T61" s="26"/>
      <c r="U61" s="26"/>
      <c r="V61" s="26"/>
      <c r="W61" s="26"/>
      <c r="X61" s="26"/>
      <c r="Y61" s="26"/>
      <c r="Z61" s="374"/>
    </row>
    <row r="62" spans="2:26" ht="19.5">
      <c r="B62" s="135"/>
      <c r="C62" s="244" t="s">
        <v>400</v>
      </c>
      <c r="D62" s="224" t="s">
        <v>401</v>
      </c>
      <c r="E62" s="239"/>
      <c r="F62" s="26"/>
      <c r="G62" s="26"/>
      <c r="H62" s="26"/>
      <c r="I62" s="26"/>
      <c r="J62" s="346"/>
      <c r="K62" s="230" t="s">
        <v>410</v>
      </c>
      <c r="L62" s="243" t="s">
        <v>411</v>
      </c>
      <c r="M62" s="26"/>
      <c r="N62" s="239"/>
      <c r="O62" s="26"/>
      <c r="P62" s="26"/>
      <c r="Q62" s="26"/>
      <c r="R62" s="26"/>
      <c r="S62" s="26"/>
      <c r="T62" s="26"/>
      <c r="U62" s="26"/>
      <c r="V62" s="26"/>
      <c r="W62" s="26"/>
      <c r="X62" s="26"/>
      <c r="Y62" s="26"/>
      <c r="Z62" s="374"/>
    </row>
    <row r="63" spans="2:26" ht="18.75">
      <c r="B63" s="135"/>
      <c r="C63" s="244" t="s">
        <v>402</v>
      </c>
      <c r="D63" s="91">
        <v>8314.41</v>
      </c>
      <c r="E63" s="334" t="s">
        <v>403</v>
      </c>
      <c r="F63" s="26"/>
      <c r="G63" s="26"/>
      <c r="H63" s="26"/>
      <c r="I63" s="26"/>
      <c r="K63" s="244" t="s">
        <v>395</v>
      </c>
      <c r="L63" s="123">
        <f>L60</f>
        <v>9.571428571428573</v>
      </c>
      <c r="M63" s="335" t="s">
        <v>412</v>
      </c>
      <c r="N63" s="239"/>
      <c r="O63" s="26"/>
      <c r="P63" s="26"/>
      <c r="Q63" s="26"/>
      <c r="R63" s="26"/>
      <c r="S63" s="26"/>
      <c r="T63" s="26"/>
      <c r="U63" s="26"/>
      <c r="V63" s="26"/>
      <c r="W63" s="26"/>
      <c r="X63" s="26"/>
      <c r="Y63" s="26"/>
      <c r="Z63" s="374"/>
    </row>
    <row r="64" spans="2:26" ht="19.5">
      <c r="B64" s="135"/>
      <c r="C64" s="292" t="s">
        <v>404</v>
      </c>
      <c r="D64" s="26"/>
      <c r="E64" s="239"/>
      <c r="F64" s="26"/>
      <c r="G64" s="26"/>
      <c r="H64" s="26"/>
      <c r="I64" s="26"/>
      <c r="J64" s="346" t="s">
        <v>18</v>
      </c>
      <c r="K64" s="323" t="s">
        <v>408</v>
      </c>
      <c r="L64" s="123">
        <f>D68</f>
        <v>22.413827698001477</v>
      </c>
      <c r="M64" s="360" t="s">
        <v>416</v>
      </c>
      <c r="N64" s="239"/>
      <c r="O64" s="26"/>
      <c r="P64" s="26"/>
      <c r="Q64" s="26"/>
      <c r="R64" s="224" t="s">
        <v>18</v>
      </c>
      <c r="S64" s="26"/>
      <c r="T64" s="26"/>
      <c r="U64" s="26"/>
      <c r="V64" s="26"/>
      <c r="W64" s="224" t="s">
        <v>18</v>
      </c>
      <c r="X64" s="26"/>
      <c r="Y64" s="26"/>
      <c r="Z64" s="374"/>
    </row>
    <row r="65" spans="2:26" ht="19.5">
      <c r="B65" s="135"/>
      <c r="C65" s="323" t="s">
        <v>406</v>
      </c>
      <c r="D65" s="91">
        <v>273.15</v>
      </c>
      <c r="E65" s="119" t="s">
        <v>288</v>
      </c>
      <c r="F65" s="26"/>
      <c r="G65" s="26"/>
      <c r="H65" s="26"/>
      <c r="I65" s="26"/>
      <c r="J65" s="346"/>
      <c r="K65" s="361" t="s">
        <v>410</v>
      </c>
      <c r="L65" s="369">
        <f>L63*L64</f>
        <v>214.53235082372845</v>
      </c>
      <c r="M65" s="362" t="s">
        <v>433</v>
      </c>
      <c r="N65" s="240"/>
      <c r="O65" s="26"/>
      <c r="P65" s="26"/>
      <c r="Q65" s="26"/>
      <c r="R65" s="26"/>
      <c r="S65" s="26"/>
      <c r="T65" s="26"/>
      <c r="U65" s="26"/>
      <c r="V65" s="26"/>
      <c r="W65" s="26"/>
      <c r="X65" s="26"/>
      <c r="Y65" s="26"/>
      <c r="Z65" s="374"/>
    </row>
    <row r="66" spans="2:26" ht="15.75">
      <c r="B66" s="135"/>
      <c r="C66" s="323" t="s">
        <v>407</v>
      </c>
      <c r="D66" s="91">
        <v>101325</v>
      </c>
      <c r="E66" s="119" t="s">
        <v>405</v>
      </c>
      <c r="F66" s="26"/>
      <c r="G66" s="26"/>
      <c r="H66" s="26"/>
      <c r="I66" s="26"/>
      <c r="J66" s="346"/>
      <c r="K66" s="26"/>
      <c r="L66" s="26"/>
      <c r="M66" s="26"/>
      <c r="N66" s="26"/>
      <c r="O66" s="26"/>
      <c r="P66" s="26"/>
      <c r="Q66" s="26"/>
      <c r="R66" s="26"/>
      <c r="S66" s="26"/>
      <c r="T66" s="26"/>
      <c r="U66" s="26"/>
      <c r="V66" s="26"/>
      <c r="W66" s="26"/>
      <c r="X66" s="26"/>
      <c r="Y66" s="26"/>
      <c r="Z66" s="374"/>
    </row>
    <row r="67" spans="2:26" ht="19.5">
      <c r="B67" s="135"/>
      <c r="C67" s="248"/>
      <c r="D67" s="91"/>
      <c r="E67" s="239"/>
      <c r="F67" s="26"/>
      <c r="G67" s="26"/>
      <c r="H67" s="26"/>
      <c r="I67" s="26"/>
      <c r="J67" s="346"/>
      <c r="K67" s="232" t="s">
        <v>430</v>
      </c>
      <c r="L67" s="368" t="s">
        <v>428</v>
      </c>
      <c r="M67" s="234"/>
      <c r="N67" s="93"/>
      <c r="O67" s="26"/>
      <c r="P67" s="26"/>
      <c r="Q67" s="26"/>
      <c r="R67" s="26"/>
      <c r="S67" s="26"/>
      <c r="T67" s="26"/>
      <c r="U67" s="26"/>
      <c r="V67" s="26"/>
      <c r="W67" s="26"/>
      <c r="X67" s="26"/>
      <c r="Y67" s="26"/>
      <c r="Z67" s="374"/>
    </row>
    <row r="68" spans="2:26" ht="19.5">
      <c r="B68" s="135"/>
      <c r="C68" s="318" t="s">
        <v>408</v>
      </c>
      <c r="D68" s="357">
        <f>D63*D65/D66</f>
        <v>22.413827698001477</v>
      </c>
      <c r="E68" s="358" t="s">
        <v>415</v>
      </c>
      <c r="F68" s="26"/>
      <c r="G68" s="26"/>
      <c r="H68" s="26"/>
      <c r="I68" s="26"/>
      <c r="J68" s="346"/>
      <c r="K68" s="230" t="s">
        <v>410</v>
      </c>
      <c r="L68" s="359">
        <f>L65</f>
        <v>214.53235082372845</v>
      </c>
      <c r="M68" s="360" t="s">
        <v>433</v>
      </c>
      <c r="N68" s="239"/>
      <c r="O68" s="26"/>
      <c r="P68" s="26"/>
      <c r="Q68" s="26"/>
      <c r="R68" s="26"/>
      <c r="S68" s="26"/>
      <c r="T68" s="26"/>
      <c r="U68" s="26"/>
      <c r="V68" s="26"/>
      <c r="W68" s="26"/>
      <c r="X68" s="26"/>
      <c r="Y68" s="26"/>
      <c r="Z68" s="374"/>
    </row>
    <row r="69" spans="2:26" ht="15">
      <c r="B69" s="135"/>
      <c r="C69" s="26"/>
      <c r="D69" s="26"/>
      <c r="E69" s="26"/>
      <c r="F69" s="26"/>
      <c r="G69" s="26"/>
      <c r="H69" s="26"/>
      <c r="I69" s="26"/>
      <c r="J69" s="346"/>
      <c r="K69" s="90" t="s">
        <v>429</v>
      </c>
      <c r="L69" s="91">
        <f>G23/100</f>
        <v>0.3</v>
      </c>
      <c r="M69" s="26"/>
      <c r="N69" s="239"/>
      <c r="O69" s="26"/>
      <c r="P69" s="26"/>
      <c r="Q69" s="26"/>
      <c r="R69" s="26"/>
      <c r="S69" s="26"/>
      <c r="T69" s="26"/>
      <c r="U69" s="26"/>
      <c r="V69" s="26"/>
      <c r="W69" s="26"/>
      <c r="X69" s="26"/>
      <c r="Y69" s="26"/>
      <c r="Z69" s="374"/>
    </row>
    <row r="70" spans="2:26" ht="19.5">
      <c r="B70" s="135"/>
      <c r="K70" s="230" t="s">
        <v>430</v>
      </c>
      <c r="L70" s="223">
        <f>L68*(1+L69)</f>
        <v>278.892056070847</v>
      </c>
      <c r="M70" s="360" t="s">
        <v>433</v>
      </c>
      <c r="N70" s="239"/>
      <c r="O70" s="26"/>
      <c r="P70" s="26"/>
      <c r="Q70" s="26"/>
      <c r="R70" s="26"/>
      <c r="S70" s="26"/>
      <c r="T70" s="26"/>
      <c r="U70" s="26"/>
      <c r="V70" s="26"/>
      <c r="W70" s="26"/>
      <c r="X70" s="26"/>
      <c r="Y70" s="26"/>
      <c r="Z70" s="374"/>
    </row>
    <row r="71" spans="2:26" ht="12.75">
      <c r="B71" s="135"/>
      <c r="K71" s="231"/>
      <c r="L71" s="26"/>
      <c r="M71" s="26"/>
      <c r="N71" s="239"/>
      <c r="O71" s="26"/>
      <c r="P71" s="26"/>
      <c r="Q71" s="26"/>
      <c r="R71" s="26"/>
      <c r="S71" s="26"/>
      <c r="T71" s="26"/>
      <c r="U71" s="26"/>
      <c r="V71" s="26"/>
      <c r="W71" s="26"/>
      <c r="X71" s="363"/>
      <c r="Y71" s="26"/>
      <c r="Z71" s="374"/>
    </row>
    <row r="72" spans="2:26" ht="16.5" customHeight="1">
      <c r="B72" s="135"/>
      <c r="K72" s="230" t="s">
        <v>430</v>
      </c>
      <c r="L72" s="359">
        <f>1.3*L65</f>
        <v>278.892056070847</v>
      </c>
      <c r="M72" s="26">
        <f>W76</f>
        <v>35.3147</v>
      </c>
      <c r="N72" s="239"/>
      <c r="O72" s="26"/>
      <c r="P72" s="26"/>
      <c r="Q72" s="26"/>
      <c r="R72" s="26"/>
      <c r="S72" s="26"/>
      <c r="T72" s="26"/>
      <c r="U72" s="26"/>
      <c r="V72" s="26"/>
      <c r="W72" s="26"/>
      <c r="X72" s="363"/>
      <c r="Y72" s="26"/>
      <c r="Z72" s="374"/>
    </row>
    <row r="73" spans="2:26" ht="16.5" customHeight="1">
      <c r="B73" s="135"/>
      <c r="C73" s="26"/>
      <c r="D73" s="26"/>
      <c r="E73" s="26"/>
      <c r="F73" s="26"/>
      <c r="G73" s="26"/>
      <c r="H73" s="26"/>
      <c r="I73" s="26"/>
      <c r="J73" s="346"/>
      <c r="K73" s="230" t="s">
        <v>430</v>
      </c>
      <c r="L73" s="228">
        <f>L72*M72</f>
        <v>9848.98929252514</v>
      </c>
      <c r="M73" s="360" t="s">
        <v>435</v>
      </c>
      <c r="N73" s="239"/>
      <c r="O73" s="26"/>
      <c r="P73" s="26"/>
      <c r="Q73" s="26"/>
      <c r="R73" s="26"/>
      <c r="S73" s="26"/>
      <c r="T73" s="26"/>
      <c r="U73" s="26"/>
      <c r="V73" s="26"/>
      <c r="W73" s="26"/>
      <c r="X73" s="363"/>
      <c r="Y73" s="26"/>
      <c r="Z73" s="374"/>
    </row>
    <row r="74" spans="2:26" ht="16.5" customHeight="1">
      <c r="B74" s="135"/>
      <c r="C74" s="26"/>
      <c r="D74" s="26"/>
      <c r="E74" s="26"/>
      <c r="F74" s="26"/>
      <c r="G74" s="26"/>
      <c r="H74" s="26"/>
      <c r="I74" s="26"/>
      <c r="J74" s="346"/>
      <c r="K74" s="230" t="s">
        <v>430</v>
      </c>
      <c r="L74" s="228">
        <f>L73</f>
        <v>9848.98929252514</v>
      </c>
      <c r="M74" s="26">
        <f>W77</f>
        <v>2.20462</v>
      </c>
      <c r="N74" s="239"/>
      <c r="O74" s="26"/>
      <c r="P74" s="26"/>
      <c r="T74" s="26"/>
      <c r="U74" s="26"/>
      <c r="V74" s="225" t="s">
        <v>430</v>
      </c>
      <c r="W74" s="224" t="s">
        <v>417</v>
      </c>
      <c r="X74" s="26"/>
      <c r="Y74" s="26"/>
      <c r="Z74" s="374"/>
    </row>
    <row r="75" spans="2:26" ht="16.5" customHeight="1">
      <c r="B75" s="135"/>
      <c r="C75" s="26"/>
      <c r="D75" s="26"/>
      <c r="E75" s="26"/>
      <c r="F75" s="26"/>
      <c r="G75" s="26"/>
      <c r="H75" s="26"/>
      <c r="I75" s="26"/>
      <c r="J75" s="346"/>
      <c r="K75" s="361" t="s">
        <v>430</v>
      </c>
      <c r="L75" s="370">
        <f>L74/M74</f>
        <v>4467.431708196942</v>
      </c>
      <c r="M75" s="362" t="s">
        <v>434</v>
      </c>
      <c r="N75" s="240"/>
      <c r="O75" s="26"/>
      <c r="P75" s="26"/>
      <c r="T75" s="26"/>
      <c r="U75" s="26"/>
      <c r="V75" s="26"/>
      <c r="W75" s="26"/>
      <c r="X75" s="26"/>
      <c r="Y75" s="26"/>
      <c r="Z75" s="374"/>
    </row>
    <row r="76" spans="2:26" ht="16.5" customHeight="1">
      <c r="B76" s="135"/>
      <c r="C76" s="26"/>
      <c r="D76" s="26"/>
      <c r="E76" s="26"/>
      <c r="F76" s="26"/>
      <c r="G76" s="26"/>
      <c r="H76" s="26"/>
      <c r="I76" s="26"/>
      <c r="J76" s="346"/>
      <c r="O76" s="26"/>
      <c r="P76" s="26"/>
      <c r="T76" s="26"/>
      <c r="U76" s="26"/>
      <c r="V76" s="243" t="s">
        <v>414</v>
      </c>
      <c r="W76" s="26">
        <v>35.3147</v>
      </c>
      <c r="X76" s="224" t="s">
        <v>413</v>
      </c>
      <c r="Y76" s="26"/>
      <c r="Z76" s="374"/>
    </row>
    <row r="77" spans="2:26" ht="16.5" customHeight="1">
      <c r="B77" s="135"/>
      <c r="C77" s="26"/>
      <c r="D77" s="26"/>
      <c r="E77" s="26"/>
      <c r="F77" s="26"/>
      <c r="G77" s="26"/>
      <c r="H77" s="26"/>
      <c r="I77" s="26"/>
      <c r="J77" s="346"/>
      <c r="O77" s="26"/>
      <c r="P77" s="26"/>
      <c r="T77" s="26"/>
      <c r="U77" s="26"/>
      <c r="V77" s="224" t="s">
        <v>431</v>
      </c>
      <c r="W77" s="26">
        <v>2.20462</v>
      </c>
      <c r="X77" s="224" t="s">
        <v>432</v>
      </c>
      <c r="Y77" s="26"/>
      <c r="Z77" s="374"/>
    </row>
    <row r="78" spans="2:26" ht="12.75">
      <c r="B78" s="135"/>
      <c r="C78" s="26"/>
      <c r="D78" s="26"/>
      <c r="E78" s="26"/>
      <c r="F78" s="26"/>
      <c r="G78" s="26"/>
      <c r="H78" s="26"/>
      <c r="I78" s="26"/>
      <c r="J78" s="346"/>
      <c r="O78" s="26"/>
      <c r="P78" s="26"/>
      <c r="T78" s="26"/>
      <c r="U78" s="26"/>
      <c r="V78" s="26"/>
      <c r="W78" s="26"/>
      <c r="X78" s="26"/>
      <c r="Y78" s="26"/>
      <c r="Z78" s="374"/>
    </row>
    <row r="79" spans="2:26" ht="12.75">
      <c r="B79" s="135"/>
      <c r="C79" s="26"/>
      <c r="D79" s="26"/>
      <c r="E79" s="26"/>
      <c r="F79" s="26"/>
      <c r="G79" s="26"/>
      <c r="H79" s="26"/>
      <c r="I79" s="26"/>
      <c r="J79" s="346"/>
      <c r="O79" s="26"/>
      <c r="P79" s="26"/>
      <c r="T79" s="26"/>
      <c r="U79" s="26"/>
      <c r="V79" s="26"/>
      <c r="W79" s="26"/>
      <c r="X79" s="26"/>
      <c r="Y79" s="26"/>
      <c r="Z79" s="374"/>
    </row>
    <row r="80" spans="2:26" ht="12.75">
      <c r="B80" s="135"/>
      <c r="C80" s="26"/>
      <c r="D80" s="26"/>
      <c r="E80" s="26"/>
      <c r="F80" s="26"/>
      <c r="G80" s="26"/>
      <c r="H80" s="26"/>
      <c r="I80" s="26"/>
      <c r="J80" s="346"/>
      <c r="K80" s="26"/>
      <c r="L80" s="26"/>
      <c r="M80" s="26"/>
      <c r="N80" s="26"/>
      <c r="O80" s="26"/>
      <c r="P80" s="26"/>
      <c r="Q80" s="26"/>
      <c r="R80" s="26"/>
      <c r="S80" s="26"/>
      <c r="T80" s="26"/>
      <c r="U80" s="26"/>
      <c r="V80" s="26"/>
      <c r="W80" s="26"/>
      <c r="X80" s="26"/>
      <c r="Y80" s="26"/>
      <c r="Z80" s="374"/>
    </row>
    <row r="81" spans="2:26" ht="12.75">
      <c r="B81" s="135"/>
      <c r="C81" s="26"/>
      <c r="D81" s="26"/>
      <c r="E81" s="26"/>
      <c r="F81" s="26"/>
      <c r="G81" s="26"/>
      <c r="H81" s="26"/>
      <c r="I81" s="26"/>
      <c r="J81" s="346"/>
      <c r="K81" s="26"/>
      <c r="L81" s="26"/>
      <c r="M81" s="26"/>
      <c r="N81" s="26"/>
      <c r="O81" s="26"/>
      <c r="P81" s="26"/>
      <c r="Q81" s="26"/>
      <c r="R81" s="26"/>
      <c r="S81" s="26"/>
      <c r="T81" s="26"/>
      <c r="U81" s="26"/>
      <c r="V81" s="26"/>
      <c r="W81" s="26"/>
      <c r="X81" s="26"/>
      <c r="Y81" s="26"/>
      <c r="Z81" s="374"/>
    </row>
    <row r="82" spans="2:26" ht="12.75">
      <c r="B82" s="135"/>
      <c r="C82" s="26"/>
      <c r="D82" s="26"/>
      <c r="E82" s="26"/>
      <c r="F82" s="26"/>
      <c r="G82" s="26"/>
      <c r="H82" s="26"/>
      <c r="I82" s="26"/>
      <c r="J82" s="346"/>
      <c r="K82" s="26"/>
      <c r="L82" s="26"/>
      <c r="M82" s="26"/>
      <c r="N82" s="26"/>
      <c r="O82" s="26"/>
      <c r="P82" s="26"/>
      <c r="Q82" s="26"/>
      <c r="R82" s="26"/>
      <c r="S82" s="26"/>
      <c r="T82" s="26"/>
      <c r="U82" s="26"/>
      <c r="V82" s="26"/>
      <c r="W82" s="26"/>
      <c r="X82" s="26"/>
      <c r="Y82" s="26"/>
      <c r="Z82" s="374"/>
    </row>
    <row r="83" spans="2:26" ht="12.75">
      <c r="B83" s="135"/>
      <c r="C83" s="26"/>
      <c r="D83" s="26"/>
      <c r="E83" s="26"/>
      <c r="F83" s="26"/>
      <c r="G83" s="26"/>
      <c r="H83" s="26"/>
      <c r="I83" s="26"/>
      <c r="J83" s="346"/>
      <c r="K83" s="26"/>
      <c r="L83" s="26"/>
      <c r="M83" s="26"/>
      <c r="N83" s="26"/>
      <c r="O83" s="26"/>
      <c r="P83" s="26"/>
      <c r="Q83" s="26"/>
      <c r="R83" s="26"/>
      <c r="S83" s="26"/>
      <c r="T83" s="26"/>
      <c r="U83" s="26"/>
      <c r="V83" s="26"/>
      <c r="W83" s="26"/>
      <c r="X83" s="26"/>
      <c r="Y83" s="26"/>
      <c r="Z83" s="374"/>
    </row>
    <row r="84" spans="2:26" ht="13.5" thickBot="1">
      <c r="B84" s="200"/>
      <c r="C84" s="201"/>
      <c r="D84" s="201"/>
      <c r="E84" s="201"/>
      <c r="F84" s="201"/>
      <c r="G84" s="201"/>
      <c r="H84" s="201"/>
      <c r="I84" s="201"/>
      <c r="J84" s="347"/>
      <c r="K84" s="201"/>
      <c r="L84" s="201"/>
      <c r="M84" s="201"/>
      <c r="N84" s="201"/>
      <c r="O84" s="201"/>
      <c r="P84" s="201"/>
      <c r="Q84" s="201"/>
      <c r="R84" s="201"/>
      <c r="S84" s="201"/>
      <c r="T84" s="201"/>
      <c r="U84" s="201"/>
      <c r="V84" s="201"/>
      <c r="W84" s="201"/>
      <c r="X84" s="201"/>
      <c r="Y84" s="201"/>
      <c r="Z84" s="375"/>
    </row>
    <row r="85" ht="13.5" thickTop="1">
      <c r="J85" s="6"/>
    </row>
    <row r="86" ht="12.75">
      <c r="J86" s="6"/>
    </row>
    <row r="87" ht="12.75">
      <c r="J87" s="6"/>
    </row>
    <row r="88" ht="13.5" thickBot="1">
      <c r="J88" s="6"/>
    </row>
    <row r="89" spans="2:26" ht="13.5" thickTop="1">
      <c r="B89" s="128"/>
      <c r="C89" s="129"/>
      <c r="D89" s="387"/>
      <c r="E89" s="129"/>
      <c r="F89" s="129"/>
      <c r="G89" s="388"/>
      <c r="H89" s="388"/>
      <c r="I89" s="389"/>
      <c r="J89" s="388"/>
      <c r="K89" s="388"/>
      <c r="L89" s="129"/>
      <c r="M89" s="129"/>
      <c r="N89" s="129"/>
      <c r="O89" s="129"/>
      <c r="P89" s="129"/>
      <c r="Q89" s="129"/>
      <c r="R89" s="129"/>
      <c r="S89" s="129"/>
      <c r="T89" s="129"/>
      <c r="U89" s="129"/>
      <c r="V89" s="129"/>
      <c r="W89" s="129"/>
      <c r="X89" s="129"/>
      <c r="Y89" s="129"/>
      <c r="Z89" s="373">
        <v>3</v>
      </c>
    </row>
    <row r="90" spans="2:26" ht="12.75">
      <c r="B90" s="135"/>
      <c r="C90" s="26"/>
      <c r="D90" s="345"/>
      <c r="E90" s="26"/>
      <c r="F90" s="26"/>
      <c r="H90" s="26"/>
      <c r="I90" s="26"/>
      <c r="J90" s="346"/>
      <c r="K90" s="26"/>
      <c r="L90" s="26"/>
      <c r="M90" s="26"/>
      <c r="N90" s="26"/>
      <c r="O90" s="26"/>
      <c r="P90" s="26"/>
      <c r="Q90" s="26"/>
      <c r="R90" s="224" t="s">
        <v>496</v>
      </c>
      <c r="S90" s="26"/>
      <c r="T90" s="26"/>
      <c r="U90" s="26"/>
      <c r="V90" s="26"/>
      <c r="W90" s="371"/>
      <c r="X90" s="26"/>
      <c r="Y90" s="26"/>
      <c r="Z90" s="134"/>
    </row>
    <row r="91" spans="2:26" ht="19.5">
      <c r="B91" s="135"/>
      <c r="C91" s="60" t="s">
        <v>37</v>
      </c>
      <c r="D91" s="345"/>
      <c r="E91" s="26"/>
      <c r="F91" s="26"/>
      <c r="G91" s="346"/>
      <c r="H91" s="26"/>
      <c r="I91" s="26"/>
      <c r="J91" s="346"/>
      <c r="K91" s="26"/>
      <c r="L91" s="26"/>
      <c r="P91" s="26"/>
      <c r="Q91" s="26"/>
      <c r="R91" s="232" t="s">
        <v>289</v>
      </c>
      <c r="S91" s="120" t="s">
        <v>287</v>
      </c>
      <c r="T91" s="120"/>
      <c r="U91" s="120"/>
      <c r="V91" s="233" t="s">
        <v>289</v>
      </c>
      <c r="W91" s="120" t="s">
        <v>287</v>
      </c>
      <c r="X91" s="120"/>
      <c r="Y91" s="93"/>
      <c r="Z91" s="134"/>
    </row>
    <row r="92" spans="2:26" ht="18.75" customHeight="1">
      <c r="B92" s="135"/>
      <c r="C92" s="325" t="s">
        <v>436</v>
      </c>
      <c r="D92" s="382"/>
      <c r="E92" s="382"/>
      <c r="F92" s="382"/>
      <c r="G92" s="382"/>
      <c r="H92" s="382"/>
      <c r="I92" s="382"/>
      <c r="J92" s="382"/>
      <c r="K92" s="382"/>
      <c r="L92" s="37"/>
      <c r="M92" s="26"/>
      <c r="N92" s="26"/>
      <c r="O92" s="26"/>
      <c r="R92" s="230" t="s">
        <v>290</v>
      </c>
      <c r="S92" s="444">
        <f>t_K_in</f>
        <v>305.37222222222226</v>
      </c>
      <c r="T92" s="226" t="s">
        <v>288</v>
      </c>
      <c r="U92" s="226"/>
      <c r="V92" s="225" t="s">
        <v>291</v>
      </c>
      <c r="W92" s="444">
        <f>T_K</f>
        <v>1980.6443229493086</v>
      </c>
      <c r="X92" s="226" t="s">
        <v>288</v>
      </c>
      <c r="Y92" s="239"/>
      <c r="Z92" s="134"/>
    </row>
    <row r="93" spans="2:26" ht="18" customHeight="1">
      <c r="B93" s="135"/>
      <c r="C93" s="325" t="s">
        <v>437</v>
      </c>
      <c r="D93" s="224"/>
      <c r="E93" s="224"/>
      <c r="F93" s="224"/>
      <c r="G93" s="224"/>
      <c r="H93" s="224"/>
      <c r="I93" s="224"/>
      <c r="J93" s="224"/>
      <c r="K93" s="224"/>
      <c r="L93" s="224"/>
      <c r="P93" s="26"/>
      <c r="Q93" s="26"/>
      <c r="R93" s="230" t="s">
        <v>292</v>
      </c>
      <c r="S93" s="227">
        <f>Gas_N2Enthalpy_tK(S92)</f>
        <v>8879.748113519989</v>
      </c>
      <c r="T93" s="226" t="s">
        <v>277</v>
      </c>
      <c r="U93" s="226"/>
      <c r="V93" s="225" t="s">
        <v>293</v>
      </c>
      <c r="W93" s="444">
        <f>Gas_N2Enthalpy_tK(W92)</f>
        <v>64140.14017661801</v>
      </c>
      <c r="X93" s="226" t="s">
        <v>277</v>
      </c>
      <c r="Y93" s="239"/>
      <c r="Z93" s="134"/>
    </row>
    <row r="94" spans="2:26" ht="18" customHeight="1">
      <c r="B94" s="135"/>
      <c r="C94" s="26"/>
      <c r="D94" s="26"/>
      <c r="E94" s="26"/>
      <c r="F94" s="26"/>
      <c r="G94" s="26"/>
      <c r="H94" s="26"/>
      <c r="I94" s="377"/>
      <c r="J94" s="377"/>
      <c r="K94" s="377"/>
      <c r="L94" s="26"/>
      <c r="P94" s="26"/>
      <c r="Q94" s="26"/>
      <c r="R94" s="92"/>
      <c r="S94" s="226"/>
      <c r="T94" s="226"/>
      <c r="U94" s="226"/>
      <c r="V94" s="226"/>
      <c r="W94" s="371"/>
      <c r="X94" s="226"/>
      <c r="Y94" s="239"/>
      <c r="Z94" s="134"/>
    </row>
    <row r="95" spans="2:26" ht="18" customHeight="1">
      <c r="B95" s="135"/>
      <c r="C95" s="700" t="s">
        <v>70</v>
      </c>
      <c r="D95" s="701"/>
      <c r="E95" s="701"/>
      <c r="F95" s="701"/>
      <c r="G95" s="701"/>
      <c r="H95" s="701"/>
      <c r="I95" s="701"/>
      <c r="J95" s="701"/>
      <c r="K95" s="701"/>
      <c r="L95" s="26"/>
      <c r="N95" s="441" t="s">
        <v>454</v>
      </c>
      <c r="P95" s="26"/>
      <c r="Q95" s="26"/>
      <c r="R95" s="230" t="s">
        <v>294</v>
      </c>
      <c r="S95" s="223" t="s">
        <v>295</v>
      </c>
      <c r="T95" s="26"/>
      <c r="U95" s="26"/>
      <c r="V95" s="26"/>
      <c r="W95" s="371"/>
      <c r="X95" s="26"/>
      <c r="Y95" s="239"/>
      <c r="Z95" s="134"/>
    </row>
    <row r="96" spans="2:26" ht="18" customHeight="1">
      <c r="B96" s="135"/>
      <c r="C96" s="380" t="s">
        <v>56</v>
      </c>
      <c r="D96" s="377"/>
      <c r="E96" s="377"/>
      <c r="F96" s="377"/>
      <c r="G96" s="391" t="s">
        <v>18</v>
      </c>
      <c r="H96" s="379"/>
      <c r="I96" s="377"/>
      <c r="J96" s="377"/>
      <c r="K96" s="377"/>
      <c r="N96" s="442" t="s">
        <v>202</v>
      </c>
      <c r="P96" s="26"/>
      <c r="Q96" s="26"/>
      <c r="R96" s="230" t="s">
        <v>294</v>
      </c>
      <c r="S96" s="228">
        <f>W93-S93</f>
        <v>55260.39206309803</v>
      </c>
      <c r="T96" s="226" t="s">
        <v>280</v>
      </c>
      <c r="U96" s="26"/>
      <c r="V96" s="26"/>
      <c r="W96" s="371"/>
      <c r="X96" s="26"/>
      <c r="Y96" s="239"/>
      <c r="Z96" s="134"/>
    </row>
    <row r="97" spans="2:26" ht="18" customHeight="1">
      <c r="B97" s="135"/>
      <c r="C97" s="378"/>
      <c r="D97" s="377"/>
      <c r="E97" s="377"/>
      <c r="F97" s="377"/>
      <c r="G97" s="391" t="s">
        <v>18</v>
      </c>
      <c r="H97" s="379"/>
      <c r="I97" s="377"/>
      <c r="J97" s="377"/>
      <c r="K97" s="377"/>
      <c r="M97" s="377"/>
      <c r="N97" s="429" t="s">
        <v>60</v>
      </c>
      <c r="P97" s="26"/>
      <c r="Q97" s="26"/>
      <c r="R97" s="231"/>
      <c r="S97" s="26"/>
      <c r="T97" s="26"/>
      <c r="U97" s="26"/>
      <c r="V97" s="26"/>
      <c r="W97" s="371"/>
      <c r="X97" s="26"/>
      <c r="Y97" s="239"/>
      <c r="Z97" s="134"/>
    </row>
    <row r="98" spans="2:26" ht="18" customHeight="1">
      <c r="B98" s="135"/>
      <c r="M98" s="377"/>
      <c r="N98" s="428" t="s">
        <v>210</v>
      </c>
      <c r="O98" s="415" t="s">
        <v>180</v>
      </c>
      <c r="P98" s="26"/>
      <c r="Q98" s="26"/>
      <c r="R98" s="230" t="s">
        <v>296</v>
      </c>
      <c r="S98" s="223" t="s">
        <v>297</v>
      </c>
      <c r="T98" s="26"/>
      <c r="U98" s="26"/>
      <c r="V98" s="26"/>
      <c r="W98" s="371"/>
      <c r="X98" s="26"/>
      <c r="Y98" s="239"/>
      <c r="Z98" s="134"/>
    </row>
    <row r="99" spans="2:26" ht="18" customHeight="1">
      <c r="B99" s="135"/>
      <c r="C99" s="378"/>
      <c r="D99" s="246"/>
      <c r="E99" s="246"/>
      <c r="F99" s="246"/>
      <c r="G99" s="246"/>
      <c r="H99" s="246"/>
      <c r="I99" s="246"/>
      <c r="J99" s="246"/>
      <c r="K99" s="246"/>
      <c r="M99" s="87" t="s">
        <v>30</v>
      </c>
      <c r="N99" s="311">
        <f>'Gas data'!J10</f>
        <v>50.009</v>
      </c>
      <c r="O99" s="427">
        <f>N99*X122</f>
        <v>21500.019307</v>
      </c>
      <c r="P99" s="224" t="s">
        <v>285</v>
      </c>
      <c r="Q99" s="26"/>
      <c r="R99" s="230" t="s">
        <v>296</v>
      </c>
      <c r="S99" s="228">
        <f>W92-S92</f>
        <v>1675.2721007270864</v>
      </c>
      <c r="T99" s="224" t="s">
        <v>288</v>
      </c>
      <c r="U99" s="26"/>
      <c r="V99" s="26"/>
      <c r="W99" s="371"/>
      <c r="X99" s="26"/>
      <c r="Y99" s="239"/>
      <c r="Z99" s="134"/>
    </row>
    <row r="100" spans="2:26" ht="18" customHeight="1">
      <c r="B100" s="135"/>
      <c r="D100" s="246"/>
      <c r="E100" s="246"/>
      <c r="F100" s="246"/>
      <c r="G100" s="246"/>
      <c r="H100" s="246"/>
      <c r="I100" s="381"/>
      <c r="J100" s="246"/>
      <c r="K100" s="246"/>
      <c r="M100" s="87" t="s">
        <v>31</v>
      </c>
      <c r="N100" s="312">
        <f>'Gas data'!J11</f>
        <v>47.794</v>
      </c>
      <c r="O100" s="427">
        <f>N100*X122</f>
        <v>20547.739862</v>
      </c>
      <c r="P100" s="26"/>
      <c r="Q100" s="26"/>
      <c r="R100" s="231"/>
      <c r="S100" s="26"/>
      <c r="T100" s="26"/>
      <c r="U100" s="26"/>
      <c r="V100" s="26"/>
      <c r="W100" s="371"/>
      <c r="X100" s="26"/>
      <c r="Y100" s="239"/>
      <c r="Z100" s="134"/>
    </row>
    <row r="101" spans="2:26" ht="18" customHeight="1">
      <c r="B101" s="135"/>
      <c r="C101" s="698" t="s">
        <v>299</v>
      </c>
      <c r="D101" s="699"/>
      <c r="E101" s="699"/>
      <c r="F101" s="699"/>
      <c r="G101" s="699"/>
      <c r="H101" s="699"/>
      <c r="I101" s="699"/>
      <c r="J101" s="699"/>
      <c r="K101" s="699"/>
      <c r="P101" s="26"/>
      <c r="Q101" s="26"/>
      <c r="R101" s="90" t="s">
        <v>298</v>
      </c>
      <c r="S101" s="223" t="s">
        <v>302</v>
      </c>
      <c r="T101" s="26"/>
      <c r="U101" s="26"/>
      <c r="V101" s="26"/>
      <c r="W101" s="371"/>
      <c r="X101" s="26"/>
      <c r="Y101" s="239"/>
      <c r="Z101" s="134"/>
    </row>
    <row r="102" spans="2:26" ht="18" customHeight="1">
      <c r="B102" s="135"/>
      <c r="C102" s="382" t="s">
        <v>300</v>
      </c>
      <c r="D102" s="26"/>
      <c r="E102" s="26"/>
      <c r="F102" s="26"/>
      <c r="G102" s="26"/>
      <c r="H102" s="26"/>
      <c r="I102" s="26"/>
      <c r="J102" s="26"/>
      <c r="K102" s="26"/>
      <c r="M102" s="224" t="s">
        <v>455</v>
      </c>
      <c r="N102" s="26"/>
      <c r="O102" s="26"/>
      <c r="P102" s="26"/>
      <c r="Q102" s="26"/>
      <c r="R102" s="90" t="s">
        <v>298</v>
      </c>
      <c r="S102" s="123">
        <f>S96/S99</f>
        <v>32.985920340411816</v>
      </c>
      <c r="T102" s="224" t="s">
        <v>303</v>
      </c>
      <c r="U102" s="26"/>
      <c r="V102" s="26"/>
      <c r="W102" s="371"/>
      <c r="X102" s="26"/>
      <c r="Y102" s="239"/>
      <c r="Z102" s="134"/>
    </row>
    <row r="103" spans="2:26" ht="18" customHeight="1">
      <c r="B103" s="135"/>
      <c r="I103" s="377"/>
      <c r="M103" s="24" t="s">
        <v>45</v>
      </c>
      <c r="N103" s="91">
        <f>G20</f>
        <v>90</v>
      </c>
      <c r="O103" s="57" t="s">
        <v>41</v>
      </c>
      <c r="P103" s="26"/>
      <c r="Q103" s="26"/>
      <c r="R103" s="236" t="s">
        <v>298</v>
      </c>
      <c r="S103" s="241">
        <f>0.238846*S102</f>
        <v>7.878555129626001</v>
      </c>
      <c r="T103" s="237" t="s">
        <v>491</v>
      </c>
      <c r="U103" s="238"/>
      <c r="V103" s="238"/>
      <c r="W103" s="376"/>
      <c r="X103" s="238"/>
      <c r="Y103" s="240"/>
      <c r="Z103" s="134"/>
    </row>
    <row r="104" spans="2:26" ht="15" customHeight="1">
      <c r="B104" s="135"/>
      <c r="C104" s="325" t="s">
        <v>445</v>
      </c>
      <c r="D104" s="377"/>
      <c r="E104" s="377"/>
      <c r="F104" s="377"/>
      <c r="G104" s="377"/>
      <c r="H104" s="377"/>
      <c r="I104" s="377"/>
      <c r="M104" s="221" t="s">
        <v>286</v>
      </c>
      <c r="N104" s="123">
        <f>(5/9)*(N103+459.67)</f>
        <v>305.37222222222226</v>
      </c>
      <c r="O104" s="57" t="s">
        <v>43</v>
      </c>
      <c r="P104" s="26"/>
      <c r="Q104" s="26"/>
      <c r="R104" s="26"/>
      <c r="S104" s="26"/>
      <c r="T104" s="26"/>
      <c r="U104" s="26"/>
      <c r="V104" s="26"/>
      <c r="W104" s="371"/>
      <c r="X104" s="26"/>
      <c r="Y104" s="26"/>
      <c r="Z104" s="134"/>
    </row>
    <row r="105" spans="2:26" ht="18" customHeight="1">
      <c r="B105" s="135"/>
      <c r="C105" s="76" t="s">
        <v>175</v>
      </c>
      <c r="D105" s="77" t="s">
        <v>174</v>
      </c>
      <c r="E105" s="78"/>
      <c r="F105" s="78"/>
      <c r="G105" s="78"/>
      <c r="H105" s="406">
        <f>F114*t_K_in+(G114/2)*t_K_in^2+(H114/3)*t_K_in^3</f>
        <v>1832.9682759194304</v>
      </c>
      <c r="M105" s="26"/>
      <c r="N105" s="26"/>
      <c r="O105" s="26"/>
      <c r="P105" s="26"/>
      <c r="Q105" s="26"/>
      <c r="R105" s="243" t="s">
        <v>304</v>
      </c>
      <c r="S105" s="221" t="s">
        <v>492</v>
      </c>
      <c r="U105" s="243" t="s">
        <v>493</v>
      </c>
      <c r="V105" s="26"/>
      <c r="W105" s="224" t="s">
        <v>301</v>
      </c>
      <c r="Z105" s="134"/>
    </row>
    <row r="106" spans="2:26" ht="18" customHeight="1">
      <c r="B106" s="135"/>
      <c r="C106" s="75" t="s">
        <v>176</v>
      </c>
      <c r="D106" s="342" t="s">
        <v>177</v>
      </c>
      <c r="E106" s="234"/>
      <c r="G106" s="234"/>
      <c r="H106" s="407">
        <f>F114*T_K+(G114/2)*T_K^2+(H114/3)*T_K^3</f>
        <v>30952.470253865133</v>
      </c>
      <c r="M106" s="346" t="s">
        <v>456</v>
      </c>
      <c r="N106" s="26"/>
      <c r="O106" s="26"/>
      <c r="P106" s="26"/>
      <c r="Q106" s="26"/>
      <c r="R106" s="243" t="s">
        <v>304</v>
      </c>
      <c r="S106" s="221" t="s">
        <v>488</v>
      </c>
      <c r="T106" s="224" t="s">
        <v>309</v>
      </c>
      <c r="U106" s="224">
        <f>X121</f>
        <v>0.238846</v>
      </c>
      <c r="V106" s="224" t="s">
        <v>489</v>
      </c>
      <c r="W106" s="371"/>
      <c r="Y106" s="224" t="s">
        <v>306</v>
      </c>
      <c r="Z106" s="134"/>
    </row>
    <row r="107" spans="2:26" ht="18" customHeight="1">
      <c r="B107" s="135"/>
      <c r="C107" s="82" t="s">
        <v>178</v>
      </c>
      <c r="D107" s="77" t="s">
        <v>179</v>
      </c>
      <c r="E107" s="78"/>
      <c r="F107" s="78"/>
      <c r="G107" s="78"/>
      <c r="H107" s="408">
        <f>(1/(T_K-t_K_in))*(J114-I114)</f>
        <v>17.381953633268008</v>
      </c>
      <c r="J107" s="26"/>
      <c r="K107" s="26"/>
      <c r="M107" s="91" t="s">
        <v>47</v>
      </c>
      <c r="N107" s="384">
        <v>3105.4897813087555</v>
      </c>
      <c r="O107" s="57" t="s">
        <v>41</v>
      </c>
      <c r="P107" s="26"/>
      <c r="Q107" s="26"/>
      <c r="R107" s="243" t="s">
        <v>304</v>
      </c>
      <c r="S107" s="221" t="s">
        <v>307</v>
      </c>
      <c r="T107" s="224">
        <f>U106</f>
        <v>0.238846</v>
      </c>
      <c r="U107" s="224" t="s">
        <v>306</v>
      </c>
      <c r="V107" s="224" t="s">
        <v>490</v>
      </c>
      <c r="W107" s="224" t="s">
        <v>197</v>
      </c>
      <c r="Y107" s="224" t="s">
        <v>308</v>
      </c>
      <c r="Z107" s="134"/>
    </row>
    <row r="108" spans="2:26" ht="18" customHeight="1">
      <c r="B108" s="135"/>
      <c r="C108" s="383"/>
      <c r="D108" s="26"/>
      <c r="E108" s="26"/>
      <c r="F108" s="26"/>
      <c r="G108" s="26"/>
      <c r="H108" s="26"/>
      <c r="I108" s="26"/>
      <c r="J108" s="26"/>
      <c r="M108" s="91" t="s">
        <v>47</v>
      </c>
      <c r="N108" s="359">
        <f>(5/9)*(N107+459.67)</f>
        <v>1980.6443229493086</v>
      </c>
      <c r="O108" s="57" t="s">
        <v>43</v>
      </c>
      <c r="Q108" s="26"/>
      <c r="R108" s="243" t="s">
        <v>304</v>
      </c>
      <c r="S108" s="324" t="s">
        <v>311</v>
      </c>
      <c r="T108" s="243">
        <f>T107</f>
        <v>0.238846</v>
      </c>
      <c r="V108" s="224" t="s">
        <v>310</v>
      </c>
      <c r="W108" s="26"/>
      <c r="X108" s="26"/>
      <c r="Y108" s="26"/>
      <c r="Z108" s="134"/>
    </row>
    <row r="109" spans="2:26" ht="12.75">
      <c r="B109" s="135"/>
      <c r="F109" s="26"/>
      <c r="K109" s="26"/>
      <c r="Q109" s="26"/>
      <c r="Z109" s="134"/>
    </row>
    <row r="110" spans="2:26" ht="13.5" thickBot="1">
      <c r="B110" s="135"/>
      <c r="F110" s="309"/>
      <c r="J110" s="26" t="s">
        <v>18</v>
      </c>
      <c r="K110" s="26"/>
      <c r="Q110" s="26"/>
      <c r="R110" s="26"/>
      <c r="S110" s="26"/>
      <c r="T110" s="26"/>
      <c r="V110" s="443" t="s">
        <v>18</v>
      </c>
      <c r="W110" s="26"/>
      <c r="X110" s="26"/>
      <c r="Y110" s="26"/>
      <c r="Z110" s="134"/>
    </row>
    <row r="111" spans="2:26" ht="15" customHeight="1">
      <c r="B111" s="135"/>
      <c r="C111" s="79"/>
      <c r="D111" s="317" t="s">
        <v>449</v>
      </c>
      <c r="E111" s="315" t="s">
        <v>450</v>
      </c>
      <c r="F111" s="702" t="s">
        <v>441</v>
      </c>
      <c r="G111" s="702"/>
      <c r="H111" s="702"/>
      <c r="I111" s="396" t="s">
        <v>440</v>
      </c>
      <c r="J111" s="396" t="s">
        <v>440</v>
      </c>
      <c r="K111" s="348" t="s">
        <v>444</v>
      </c>
      <c r="L111" s="85" t="s">
        <v>182</v>
      </c>
      <c r="M111" s="118" t="s">
        <v>181</v>
      </c>
      <c r="N111" s="349" t="s">
        <v>446</v>
      </c>
      <c r="O111" s="245" t="s">
        <v>324</v>
      </c>
      <c r="P111" s="423" t="s">
        <v>185</v>
      </c>
      <c r="Q111" s="26"/>
      <c r="R111" s="26"/>
      <c r="S111" s="26"/>
      <c r="T111" s="26"/>
      <c r="U111" s="26"/>
      <c r="V111" s="26"/>
      <c r="W111" s="26"/>
      <c r="X111" s="26"/>
      <c r="Y111" s="26"/>
      <c r="Z111" s="374"/>
    </row>
    <row r="112" spans="2:26" ht="15.75">
      <c r="B112" s="135"/>
      <c r="C112" s="306"/>
      <c r="D112" s="243" t="s">
        <v>447</v>
      </c>
      <c r="E112" s="354" t="s">
        <v>448</v>
      </c>
      <c r="F112" s="394" t="s">
        <v>172</v>
      </c>
      <c r="G112" s="253" t="s">
        <v>173</v>
      </c>
      <c r="H112" s="395" t="s">
        <v>314</v>
      </c>
      <c r="I112" s="244" t="s">
        <v>442</v>
      </c>
      <c r="J112" s="244" t="s">
        <v>443</v>
      </c>
      <c r="K112" s="397" t="s">
        <v>48</v>
      </c>
      <c r="L112" s="306"/>
      <c r="N112" s="306"/>
      <c r="P112" s="138"/>
      <c r="Q112" s="26"/>
      <c r="S112" s="348" t="s">
        <v>503</v>
      </c>
      <c r="T112" s="122" t="s">
        <v>48</v>
      </c>
      <c r="U112" s="414" t="s">
        <v>504</v>
      </c>
      <c r="V112" s="26"/>
      <c r="W112" s="26"/>
      <c r="X112" s="26"/>
      <c r="Y112" s="26"/>
      <c r="Z112" s="374"/>
    </row>
    <row r="113" spans="2:26" ht="19.5">
      <c r="B113" s="135"/>
      <c r="C113" s="306"/>
      <c r="D113" s="222" t="s">
        <v>184</v>
      </c>
      <c r="E113" s="354" t="s">
        <v>499</v>
      </c>
      <c r="F113" s="295"/>
      <c r="G113" s="398"/>
      <c r="H113" s="247"/>
      <c r="I113" s="349" t="s">
        <v>438</v>
      </c>
      <c r="J113" s="348" t="s">
        <v>439</v>
      </c>
      <c r="K113" s="292" t="s">
        <v>498</v>
      </c>
      <c r="L113" s="89" t="s">
        <v>180</v>
      </c>
      <c r="M113" s="309" t="s">
        <v>197</v>
      </c>
      <c r="N113" s="89" t="s">
        <v>183</v>
      </c>
      <c r="O113" s="222" t="s">
        <v>184</v>
      </c>
      <c r="P113" s="424" t="s">
        <v>186</v>
      </c>
      <c r="Q113" s="26"/>
      <c r="S113" s="244" t="s">
        <v>500</v>
      </c>
      <c r="T113" s="297" t="s">
        <v>498</v>
      </c>
      <c r="U113" s="350" t="s">
        <v>501</v>
      </c>
      <c r="V113" s="26"/>
      <c r="W113" s="26"/>
      <c r="X113" s="26"/>
      <c r="Y113" s="26"/>
      <c r="Z113" s="374"/>
    </row>
    <row r="114" spans="2:26" ht="16.5" customHeight="1">
      <c r="B114" s="135"/>
      <c r="C114" s="124" t="s">
        <v>30</v>
      </c>
      <c r="D114" s="124">
        <f>D54</f>
        <v>0.9</v>
      </c>
      <c r="E114" s="402">
        <v>0</v>
      </c>
      <c r="F114" s="124">
        <f>Tables!G18</f>
        <v>3.381</v>
      </c>
      <c r="G114" s="403">
        <f>Tables!H18</f>
        <v>0.018044</v>
      </c>
      <c r="H114" s="403">
        <f>Tables!I18</f>
        <v>-4.3E-06</v>
      </c>
      <c r="I114" s="404">
        <f>F114*t_K_in+(G114/2)*t_K_in^2+(H114/3)*t_K_in^3</f>
        <v>1832.9682759194304</v>
      </c>
      <c r="J114" s="410">
        <f>F114*T_K+(G114/2)*T_K^2+(H114/3)*T_K^3</f>
        <v>30952.470253865133</v>
      </c>
      <c r="K114" s="401">
        <f>(1/(T_K-t_K_in))*(J114-I114)</f>
        <v>17.381953633268008</v>
      </c>
      <c r="L114" s="430">
        <f>O99</f>
        <v>21500.019307</v>
      </c>
      <c r="M114" s="124">
        <f>GasMolarMass(C114)</f>
        <v>16.043</v>
      </c>
      <c r="N114" s="399">
        <f>L114*M114</f>
        <v>344924.80974220095</v>
      </c>
      <c r="O114" s="87">
        <f>D114</f>
        <v>0.9</v>
      </c>
      <c r="P114" s="425">
        <f>N114*O114</f>
        <v>310432.32876798086</v>
      </c>
      <c r="Q114" s="26"/>
      <c r="S114" s="416">
        <f aca="true" t="shared" si="0" ref="S114:S119">E114</f>
        <v>0</v>
      </c>
      <c r="T114" s="417">
        <f aca="true" t="shared" si="1" ref="T114:T119">K114</f>
        <v>17.381953633268008</v>
      </c>
      <c r="U114" s="322">
        <f>S114*T114</f>
        <v>0</v>
      </c>
      <c r="V114" s="26"/>
      <c r="W114" s="26"/>
      <c r="X114" s="26"/>
      <c r="Y114" s="26"/>
      <c r="Z114" s="374"/>
    </row>
    <row r="115" spans="2:26" ht="16.5" thickBot="1">
      <c r="B115" s="135"/>
      <c r="C115" s="124" t="s">
        <v>31</v>
      </c>
      <c r="D115" s="124">
        <f>D55</f>
        <v>0.06</v>
      </c>
      <c r="E115" s="402">
        <v>0</v>
      </c>
      <c r="F115" s="124">
        <f>Tables!G19</f>
        <v>2.247</v>
      </c>
      <c r="G115" s="124">
        <f>Tables!H19</f>
        <v>0.038201</v>
      </c>
      <c r="H115" s="124">
        <f>Tables!I19</f>
        <v>-1.1049E-05</v>
      </c>
      <c r="I115" s="409">
        <f>F115*t_K_in+(G115/2)*t_K_in^2+(H115/3)*t_K_in^3</f>
        <v>2362.455489498888</v>
      </c>
      <c r="J115" s="405">
        <f>F115*T_K+(G115/2)*T_K^2+(H115/3)*T_K^3</f>
        <v>50764.042575581276</v>
      </c>
      <c r="K115" s="125">
        <f>(1/(T_K-t_K_in))*(J115-I115)</f>
        <v>28.89177648519042</v>
      </c>
      <c r="L115" s="430">
        <f>O100</f>
        <v>20547.739862</v>
      </c>
      <c r="M115" s="124">
        <f>GasMolarMass(C115)</f>
        <v>30.068</v>
      </c>
      <c r="N115" s="399">
        <f>L115*M115</f>
        <v>617829.442170616</v>
      </c>
      <c r="O115" s="87">
        <f>D115</f>
        <v>0.06</v>
      </c>
      <c r="P115" s="425">
        <f>N115*O115</f>
        <v>37069.76653023696</v>
      </c>
      <c r="Q115" s="26"/>
      <c r="S115" s="485">
        <f t="shared" si="0"/>
        <v>0</v>
      </c>
      <c r="T115" s="445">
        <f t="shared" si="1"/>
        <v>28.89177648519042</v>
      </c>
      <c r="U115" s="457">
        <f>S115*T115</f>
        <v>0</v>
      </c>
      <c r="V115" s="26"/>
      <c r="W115" s="26"/>
      <c r="X115" s="26"/>
      <c r="Y115" s="26"/>
      <c r="Z115" s="374"/>
    </row>
    <row r="116" spans="2:26" ht="15.75">
      <c r="B116" s="135"/>
      <c r="C116" s="124" t="s">
        <v>32</v>
      </c>
      <c r="D116" s="351">
        <f>D56</f>
        <v>2.6130000000000004</v>
      </c>
      <c r="E116" s="124">
        <f>H56</f>
        <v>0.6030000000000001</v>
      </c>
      <c r="F116" s="124">
        <f>Tables!S32</f>
        <v>7.16</v>
      </c>
      <c r="G116" s="124">
        <f>Tables!T32</f>
        <v>0.001</v>
      </c>
      <c r="H116" s="403">
        <f>Tables!U32</f>
        <v>-40000</v>
      </c>
      <c r="I116" s="405">
        <f>F116*t_K_in+(G116/2)*t_K_in^2-H116/t_K_in</f>
        <v>2364.0788916827833</v>
      </c>
      <c r="J116" s="405">
        <f>F116*T_K+(G116/2)*T_K^2-H116/T_K</f>
        <v>16163.084767620185</v>
      </c>
      <c r="K116" s="125">
        <f>(1/(T_K-t_K_in))*(J116-I116)</f>
        <v>8.236874397865567</v>
      </c>
      <c r="L116" s="81"/>
      <c r="M116" s="124">
        <f>GasMolarMass(C116)</f>
        <v>31.999</v>
      </c>
      <c r="N116" s="399"/>
      <c r="O116" s="80"/>
      <c r="P116" s="426"/>
      <c r="Q116" s="26"/>
      <c r="R116" s="466" t="s">
        <v>32</v>
      </c>
      <c r="S116" s="499">
        <f t="shared" si="0"/>
        <v>0.6030000000000001</v>
      </c>
      <c r="T116" s="487">
        <f t="shared" si="1"/>
        <v>8.236874397865567</v>
      </c>
      <c r="U116" s="492">
        <f>S116*T116</f>
        <v>4.966835261912937</v>
      </c>
      <c r="V116" s="26"/>
      <c r="W116" s="26"/>
      <c r="X116" s="26"/>
      <c r="Y116" s="26"/>
      <c r="Z116" s="374"/>
    </row>
    <row r="117" spans="2:26" ht="15.75">
      <c r="B117" s="135"/>
      <c r="C117" s="124" t="s">
        <v>33</v>
      </c>
      <c r="D117" s="351">
        <f>D57</f>
        <v>9.869857142857143</v>
      </c>
      <c r="E117" s="351">
        <f>D117</f>
        <v>9.869857142857143</v>
      </c>
      <c r="F117" s="124">
        <f>Tables!S35</f>
        <v>6.83</v>
      </c>
      <c r="G117" s="124">
        <f>Tables!T35</f>
        <v>0.0009</v>
      </c>
      <c r="H117" s="403">
        <f>Tables!U35</f>
        <v>-12000</v>
      </c>
      <c r="I117" s="405">
        <f>F117*t_K_in+(G117/2)*t_K_in^2-H117/t_K_in</f>
        <v>2166.952070180761</v>
      </c>
      <c r="J117" s="405">
        <f>F117*T_K+(G117/2)*T_K^2-H117/T_K</f>
        <v>15299.187730544118</v>
      </c>
      <c r="K117" s="400">
        <f>(1/(T_K-t_K_in))*(J117-I117)</f>
        <v>7.8388672829111306</v>
      </c>
      <c r="L117" s="81"/>
      <c r="M117" s="124">
        <f>GasMolarMass(C117)</f>
        <v>28.016</v>
      </c>
      <c r="N117" s="399"/>
      <c r="O117" s="80"/>
      <c r="P117" s="426"/>
      <c r="Q117" s="26"/>
      <c r="R117" s="463" t="s">
        <v>33</v>
      </c>
      <c r="S117" s="125">
        <f t="shared" si="0"/>
        <v>9.869857142857143</v>
      </c>
      <c r="T117" s="417">
        <f t="shared" si="1"/>
        <v>7.8388672829111306</v>
      </c>
      <c r="U117" s="493">
        <f>S117*T117</f>
        <v>77.36850024414959</v>
      </c>
      <c r="V117" s="26"/>
      <c r="W117" s="26"/>
      <c r="X117" s="26"/>
      <c r="Y117" s="26"/>
      <c r="Z117" s="374"/>
    </row>
    <row r="118" spans="2:26" ht="12.75">
      <c r="B118" s="135"/>
      <c r="C118" s="315" t="s">
        <v>198</v>
      </c>
      <c r="D118" s="312">
        <v>0</v>
      </c>
      <c r="E118" s="124">
        <f>H54</f>
        <v>1.02</v>
      </c>
      <c r="F118" s="124">
        <f>Tables!S34</f>
        <v>10.57</v>
      </c>
      <c r="G118" s="124">
        <f>Tables!T34</f>
        <v>0.0021</v>
      </c>
      <c r="H118" s="403">
        <f>Tables!U34</f>
        <v>-206000</v>
      </c>
      <c r="I118" s="405">
        <f>F118*t_K_in+(G118/2)*t_K_in^2-H118/t_K_in</f>
        <v>4000.2857628229667</v>
      </c>
      <c r="J118" s="405">
        <f>F118*T_K+(G118/2)*T_K^2-H118/T_K</f>
        <v>25158.51658298757</v>
      </c>
      <c r="K118" s="125">
        <f>(1/(T_K-t_K_in))*(J118-I118)</f>
        <v>12.629727917621084</v>
      </c>
      <c r="L118" s="81"/>
      <c r="M118" s="124">
        <f>GasMolarMass(C118)</f>
        <v>44.01</v>
      </c>
      <c r="N118" s="399"/>
      <c r="O118" s="80"/>
      <c r="P118" s="426"/>
      <c r="Q118" s="26"/>
      <c r="R118" s="486" t="s">
        <v>198</v>
      </c>
      <c r="S118" s="125">
        <f t="shared" si="0"/>
        <v>1.02</v>
      </c>
      <c r="T118" s="417">
        <f t="shared" si="1"/>
        <v>12.629727917621084</v>
      </c>
      <c r="U118" s="493">
        <f>S118*T118</f>
        <v>12.882322475973506</v>
      </c>
      <c r="V118" s="26"/>
      <c r="W118" s="26"/>
      <c r="X118" s="26"/>
      <c r="Y118" s="26"/>
      <c r="Z118" s="374"/>
    </row>
    <row r="119" spans="2:26" ht="16.5" thickBot="1">
      <c r="B119" s="135"/>
      <c r="C119" s="124" t="s">
        <v>10</v>
      </c>
      <c r="D119" s="312">
        <v>0</v>
      </c>
      <c r="E119" s="124">
        <f>H55</f>
        <v>1.98</v>
      </c>
      <c r="F119" s="124">
        <f>Tables!S33</f>
        <v>7.3</v>
      </c>
      <c r="G119" s="124">
        <f>Tables!T33</f>
        <v>0.00246</v>
      </c>
      <c r="H119" s="124">
        <f>Tables!U33</f>
        <v>0</v>
      </c>
      <c r="I119" s="405">
        <f>F119*t_K_in+(G119/2)*t_K_in^2-H119/t_K_in</f>
        <v>2343.9174209712965</v>
      </c>
      <c r="J119" s="405">
        <f>F119*T_K+(G119/2)*T_K^2-H119/T_K</f>
        <v>19283.93443638848</v>
      </c>
      <c r="K119" s="125">
        <f>(1/(T_K-t_K_in))*(J119-I119)</f>
        <v>10.111800350560983</v>
      </c>
      <c r="L119" s="81"/>
      <c r="M119" s="124">
        <f>GasMolarMass(C119)</f>
        <v>18.016</v>
      </c>
      <c r="N119" s="399"/>
      <c r="O119" s="79"/>
      <c r="P119" s="426"/>
      <c r="Q119" s="26"/>
      <c r="R119" s="464" t="s">
        <v>10</v>
      </c>
      <c r="S119" s="490">
        <f t="shared" si="0"/>
        <v>1.98</v>
      </c>
      <c r="T119" s="491">
        <f t="shared" si="1"/>
        <v>10.111800350560983</v>
      </c>
      <c r="U119" s="494">
        <f>S119*T119</f>
        <v>20.021364694110748</v>
      </c>
      <c r="V119" s="26"/>
      <c r="W119" s="26"/>
      <c r="X119" s="26"/>
      <c r="Y119" s="26"/>
      <c r="Z119" s="374"/>
    </row>
    <row r="120" spans="2:26" ht="16.5" thickBot="1">
      <c r="B120" s="135"/>
      <c r="C120" s="25" t="s">
        <v>18</v>
      </c>
      <c r="D120" s="26">
        <f>SUM(D114:D119)</f>
        <v>13.442857142857143</v>
      </c>
      <c r="E120" s="26">
        <f>SUM(E114:E119)</f>
        <v>13.472857142857142</v>
      </c>
      <c r="F120" s="26"/>
      <c r="G120" s="27"/>
      <c r="H120" s="26"/>
      <c r="I120" s="27"/>
      <c r="J120" s="26"/>
      <c r="K120" s="385" t="s">
        <v>18</v>
      </c>
      <c r="L120" s="26"/>
      <c r="M120" s="26"/>
      <c r="N120" s="386" t="s">
        <v>18</v>
      </c>
      <c r="O120" s="420" t="s">
        <v>188</v>
      </c>
      <c r="P120" s="422">
        <f>SUM(P114:P119)</f>
        <v>347502.09529821784</v>
      </c>
      <c r="Q120" s="421" t="s">
        <v>186</v>
      </c>
      <c r="S120" s="26"/>
      <c r="T120" s="488" t="s">
        <v>505</v>
      </c>
      <c r="U120" s="489">
        <f>SUM(U114:U119)</f>
        <v>115.23902267614677</v>
      </c>
      <c r="V120" s="350" t="s">
        <v>502</v>
      </c>
      <c r="W120" s="26"/>
      <c r="X120" s="26"/>
      <c r="Y120" s="26"/>
      <c r="Z120" s="374"/>
    </row>
    <row r="121" spans="2:26" ht="12.75">
      <c r="B121" s="135"/>
      <c r="C121" s="26"/>
      <c r="D121" s="26"/>
      <c r="E121" s="26"/>
      <c r="F121" s="26"/>
      <c r="G121" s="26"/>
      <c r="H121" s="26"/>
      <c r="I121" s="26"/>
      <c r="J121" s="26"/>
      <c r="K121" s="26"/>
      <c r="L121" s="26"/>
      <c r="M121" s="26"/>
      <c r="N121" s="26"/>
      <c r="O121" s="26"/>
      <c r="Q121" s="229"/>
      <c r="S121" s="26"/>
      <c r="T121" s="26"/>
      <c r="V121" s="26"/>
      <c r="W121" s="371" t="s">
        <v>305</v>
      </c>
      <c r="X121" s="26">
        <v>0.238846</v>
      </c>
      <c r="Y121" s="224" t="s">
        <v>306</v>
      </c>
      <c r="Z121" s="374"/>
    </row>
    <row r="122" spans="2:26" ht="17.25" customHeight="1">
      <c r="B122" s="135"/>
      <c r="Q122" s="26"/>
      <c r="W122" s="371" t="s">
        <v>487</v>
      </c>
      <c r="X122" s="26">
        <v>429.923</v>
      </c>
      <c r="Y122" s="355" t="s">
        <v>180</v>
      </c>
      <c r="Z122" s="374"/>
    </row>
    <row r="123" spans="2:26" ht="14.25" customHeight="1" thickBot="1">
      <c r="B123" s="200"/>
      <c r="C123" s="201"/>
      <c r="D123" s="201"/>
      <c r="E123" s="201"/>
      <c r="F123" s="201"/>
      <c r="G123" s="201"/>
      <c r="H123" s="201"/>
      <c r="I123" s="201"/>
      <c r="J123" s="201"/>
      <c r="K123" s="201"/>
      <c r="L123" s="201"/>
      <c r="M123" s="201"/>
      <c r="N123" s="201"/>
      <c r="O123" s="201"/>
      <c r="P123" s="201"/>
      <c r="Q123" s="201"/>
      <c r="R123" s="201"/>
      <c r="S123" s="201"/>
      <c r="T123" s="201"/>
      <c r="U123" s="201"/>
      <c r="V123" s="201"/>
      <c r="W123" s="201"/>
      <c r="X123" s="201"/>
      <c r="Y123" s="201"/>
      <c r="Z123" s="375"/>
    </row>
    <row r="124" ht="17.25" customHeight="1" thickTop="1"/>
    <row r="125" ht="17.25" customHeight="1"/>
    <row r="126" ht="17.25" customHeight="1"/>
    <row r="127" ht="13.5" thickBot="1"/>
    <row r="128" spans="2:26" ht="13.5" thickTop="1">
      <c r="B128" s="128"/>
      <c r="C128" s="129"/>
      <c r="D128" s="129"/>
      <c r="E128" s="129"/>
      <c r="F128" s="129"/>
      <c r="G128" s="129"/>
      <c r="H128" s="129"/>
      <c r="I128" s="129"/>
      <c r="J128" s="129"/>
      <c r="K128" s="129"/>
      <c r="L128" s="129"/>
      <c r="M128" s="129"/>
      <c r="N128" s="129"/>
      <c r="O128" s="129"/>
      <c r="P128" s="129"/>
      <c r="Q128" s="413" t="s">
        <v>18</v>
      </c>
      <c r="R128" s="129"/>
      <c r="S128" s="129"/>
      <c r="T128" s="129"/>
      <c r="U128" s="129"/>
      <c r="V128" s="129"/>
      <c r="W128" s="129"/>
      <c r="X128" s="129"/>
      <c r="Y128" s="129"/>
      <c r="Z128" s="373">
        <v>4</v>
      </c>
    </row>
    <row r="129" spans="2:26" ht="12.75">
      <c r="B129" s="135"/>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374"/>
    </row>
    <row r="130" spans="2:26" ht="12.75">
      <c r="B130" s="135"/>
      <c r="C130" s="60" t="s">
        <v>69</v>
      </c>
      <c r="D130" s="26"/>
      <c r="E130" s="26"/>
      <c r="F130" s="26"/>
      <c r="G130" s="26"/>
      <c r="H130" s="26"/>
      <c r="I130" s="26"/>
      <c r="J130" s="26"/>
      <c r="K130" s="26"/>
      <c r="L130" s="26"/>
      <c r="M130" s="26"/>
      <c r="N130" s="26"/>
      <c r="O130" s="26"/>
      <c r="P130" s="26"/>
      <c r="Q130" s="26"/>
      <c r="R130" s="26"/>
      <c r="S130" s="26"/>
      <c r="T130" s="26"/>
      <c r="U130" s="26"/>
      <c r="V130" s="26"/>
      <c r="W130" s="26"/>
      <c r="X130" s="26"/>
      <c r="Y130" s="26"/>
      <c r="Z130" s="374"/>
    </row>
    <row r="131" spans="2:26" ht="12.75">
      <c r="B131" s="135"/>
      <c r="C131" s="26"/>
      <c r="D131" s="26"/>
      <c r="E131" s="26"/>
      <c r="F131" s="26"/>
      <c r="G131" s="26"/>
      <c r="H131" s="26"/>
      <c r="I131" s="26"/>
      <c r="J131" s="26"/>
      <c r="K131" s="26"/>
      <c r="L131" s="26"/>
      <c r="M131" s="26"/>
      <c r="N131" s="26"/>
      <c r="O131" s="26"/>
      <c r="P131" s="26"/>
      <c r="Q131" s="26"/>
      <c r="R131" s="224" t="s">
        <v>616</v>
      </c>
      <c r="S131" s="26">
        <v>459.67</v>
      </c>
      <c r="T131" s="26"/>
      <c r="U131" s="26"/>
      <c r="V131" s="26"/>
      <c r="W131" s="26"/>
      <c r="X131" s="26"/>
      <c r="Y131" s="26"/>
      <c r="Z131" s="374"/>
    </row>
    <row r="132" spans="2:26" ht="12.75">
      <c r="B132" s="135"/>
      <c r="C132" s="26"/>
      <c r="D132" s="26"/>
      <c r="E132" s="26"/>
      <c r="F132" s="26"/>
      <c r="G132" s="26"/>
      <c r="H132" s="346" t="s">
        <v>53</v>
      </c>
      <c r="I132" s="26"/>
      <c r="J132" s="26"/>
      <c r="K132" s="26"/>
      <c r="L132" s="26"/>
      <c r="M132" s="26"/>
      <c r="N132" s="26"/>
      <c r="O132" s="26"/>
      <c r="P132" s="26"/>
      <c r="Q132" s="26"/>
      <c r="R132" s="26"/>
      <c r="S132" s="26"/>
      <c r="T132" s="26"/>
      <c r="U132" s="26"/>
      <c r="V132" s="26"/>
      <c r="W132" s="26"/>
      <c r="X132" s="26"/>
      <c r="Y132" s="26"/>
      <c r="Z132" s="374"/>
    </row>
    <row r="133" spans="2:26" ht="15.75" customHeight="1">
      <c r="B133" s="135"/>
      <c r="C133" s="26"/>
      <c r="D133" s="26"/>
      <c r="E133" s="26"/>
      <c r="F133" s="26"/>
      <c r="G133" s="26"/>
      <c r="H133" s="31" t="s">
        <v>452</v>
      </c>
      <c r="I133" s="26"/>
      <c r="J133" s="26"/>
      <c r="K133" s="26"/>
      <c r="L133" s="26"/>
      <c r="M133" s="91" t="s">
        <v>520</v>
      </c>
      <c r="N133" s="26"/>
      <c r="O133" s="26"/>
      <c r="P133" s="26"/>
      <c r="Q133" s="26"/>
      <c r="R133" s="26"/>
      <c r="S133" s="26"/>
      <c r="T133" s="26"/>
      <c r="U133" s="26"/>
      <c r="V133" s="26"/>
      <c r="W133" s="26"/>
      <c r="X133" s="26"/>
      <c r="Y133" s="26"/>
      <c r="Z133" s="374"/>
    </row>
    <row r="134" spans="2:26" ht="15.75">
      <c r="B134" s="135"/>
      <c r="C134" s="37" t="s">
        <v>506</v>
      </c>
      <c r="F134" s="26"/>
      <c r="G134" s="26"/>
      <c r="H134" s="8" t="s">
        <v>50</v>
      </c>
      <c r="I134" s="392" t="s">
        <v>508</v>
      </c>
      <c r="K134" s="26"/>
      <c r="L134" s="26"/>
      <c r="M134" s="91"/>
      <c r="N134" s="26"/>
      <c r="O134" s="26"/>
      <c r="P134" s="26"/>
      <c r="Q134" s="26"/>
      <c r="R134" s="26"/>
      <c r="S134" s="26"/>
      <c r="T134" s="26"/>
      <c r="U134" s="26"/>
      <c r="V134" s="26"/>
      <c r="W134" s="26"/>
      <c r="X134" s="26"/>
      <c r="Y134" s="26"/>
      <c r="Z134" s="374"/>
    </row>
    <row r="135" spans="2:26" ht="12.75">
      <c r="B135" s="135"/>
      <c r="F135" s="26"/>
      <c r="G135" s="26"/>
      <c r="H135" s="8" t="s">
        <v>51</v>
      </c>
      <c r="I135" s="7">
        <v>0</v>
      </c>
      <c r="K135" s="26"/>
      <c r="L135" s="26"/>
      <c r="M135" s="91" t="s">
        <v>180</v>
      </c>
      <c r="N135" s="26"/>
      <c r="O135" s="26"/>
      <c r="P135" s="26"/>
      <c r="Q135" s="26"/>
      <c r="R135" s="26"/>
      <c r="S135" s="315" t="s">
        <v>189</v>
      </c>
      <c r="T135" s="315" t="s">
        <v>547</v>
      </c>
      <c r="U135" s="315" t="s">
        <v>288</v>
      </c>
      <c r="W135" s="91" t="s">
        <v>288</v>
      </c>
      <c r="X135" s="26"/>
      <c r="Y135" s="26"/>
      <c r="Z135" s="374"/>
    </row>
    <row r="136" spans="2:26" ht="26.25">
      <c r="B136" s="135"/>
      <c r="C136" s="249" t="s">
        <v>44</v>
      </c>
      <c r="D136" s="120" t="s">
        <v>507</v>
      </c>
      <c r="E136" s="93"/>
      <c r="F136" s="26"/>
      <c r="G136" s="26"/>
      <c r="H136" s="39" t="s">
        <v>152</v>
      </c>
      <c r="I136" s="392" t="s">
        <v>509</v>
      </c>
      <c r="K136" s="26"/>
      <c r="L136" s="124" t="s">
        <v>30</v>
      </c>
      <c r="M136" s="508">
        <v>21500.019307</v>
      </c>
      <c r="O136" s="26"/>
      <c r="P136" s="26"/>
      <c r="Q136" s="26"/>
      <c r="R136" s="26"/>
      <c r="S136" s="124">
        <v>90</v>
      </c>
      <c r="T136" s="427">
        <f>S136+Rank</f>
        <v>549.6700000000001</v>
      </c>
      <c r="U136" s="81">
        <f>T136/1.8</f>
        <v>305.37222222222226</v>
      </c>
      <c r="W136" s="366">
        <v>305.3722222222222</v>
      </c>
      <c r="X136" s="26"/>
      <c r="Y136" s="26"/>
      <c r="Z136" s="374"/>
    </row>
    <row r="137" spans="2:26" ht="19.5">
      <c r="B137" s="135"/>
      <c r="C137" s="230" t="s">
        <v>187</v>
      </c>
      <c r="D137" s="91">
        <f>N103</f>
        <v>90</v>
      </c>
      <c r="E137" s="94" t="s">
        <v>189</v>
      </c>
      <c r="F137" s="26"/>
      <c r="G137" s="26"/>
      <c r="H137" s="26"/>
      <c r="I137" s="26"/>
      <c r="J137" s="26"/>
      <c r="K137" s="26"/>
      <c r="L137" s="124" t="s">
        <v>31</v>
      </c>
      <c r="M137" s="508">
        <v>20547.739862</v>
      </c>
      <c r="O137" s="26"/>
      <c r="P137" s="26"/>
      <c r="Q137" s="26"/>
      <c r="R137" s="243" t="s">
        <v>617</v>
      </c>
      <c r="S137" s="427">
        <f>D138/D139</f>
        <v>3015.489781398042</v>
      </c>
      <c r="T137" s="427">
        <f>S137+Rank</f>
        <v>3475.159781398042</v>
      </c>
      <c r="U137" s="81">
        <f>T137/1.8</f>
        <v>1930.6443229989122</v>
      </c>
      <c r="W137" s="366">
        <v>1664.4200518851735</v>
      </c>
      <c r="X137" s="26"/>
      <c r="Y137" s="26"/>
      <c r="Z137" s="374"/>
    </row>
    <row r="138" spans="2:26" ht="12.75">
      <c r="B138" s="135"/>
      <c r="C138" s="419" t="s">
        <v>188</v>
      </c>
      <c r="D138" s="229">
        <f>LHV</f>
        <v>347502.09529821784</v>
      </c>
      <c r="E138" s="119" t="s">
        <v>199</v>
      </c>
      <c r="F138" s="26"/>
      <c r="G138" s="26"/>
      <c r="H138" s="224" t="s">
        <v>200</v>
      </c>
      <c r="I138" s="359">
        <f>T_F</f>
        <v>3105.4897813087555</v>
      </c>
      <c r="J138" s="224" t="s">
        <v>189</v>
      </c>
      <c r="O138" s="26"/>
      <c r="P138" s="26"/>
      <c r="Q138" s="26"/>
      <c r="R138" s="26"/>
      <c r="S138" s="427">
        <f>SUM(S136:S137)</f>
        <v>3105.489781398042</v>
      </c>
      <c r="T138" s="427">
        <f>S138+Rank</f>
        <v>3565.159781398042</v>
      </c>
      <c r="U138" s="81">
        <f>T138/1.8</f>
        <v>1980.6443229989122</v>
      </c>
      <c r="W138" s="366">
        <v>1969.7922741073958</v>
      </c>
      <c r="X138" s="26"/>
      <c r="Y138" s="26"/>
      <c r="Z138" s="374"/>
    </row>
    <row r="139" spans="2:26" ht="19.5">
      <c r="B139" s="135"/>
      <c r="C139" s="244" t="s">
        <v>505</v>
      </c>
      <c r="D139" s="55">
        <f>U120</f>
        <v>115.23902267614677</v>
      </c>
      <c r="E139" s="350" t="s">
        <v>502</v>
      </c>
      <c r="F139" s="26"/>
      <c r="G139" s="26"/>
      <c r="H139" s="226" t="s">
        <v>451</v>
      </c>
      <c r="I139" s="359">
        <f>D140</f>
        <v>3105.489781398042</v>
      </c>
      <c r="J139" s="224" t="s">
        <v>189</v>
      </c>
      <c r="K139" s="26"/>
      <c r="O139" s="26"/>
      <c r="P139" s="26"/>
      <c r="Q139" s="26"/>
      <c r="R139" s="26"/>
      <c r="S139" s="26"/>
      <c r="T139" s="91"/>
      <c r="U139" s="26"/>
      <c r="V139" s="26"/>
      <c r="X139" s="26"/>
      <c r="Y139" s="26"/>
      <c r="Z139" s="374"/>
    </row>
    <row r="140" spans="2:26" ht="19.5">
      <c r="B140" s="135"/>
      <c r="C140" s="361" t="s">
        <v>451</v>
      </c>
      <c r="D140" s="121">
        <f>D137+D138/D139</f>
        <v>3105.489781398042</v>
      </c>
      <c r="E140" s="95" t="s">
        <v>189</v>
      </c>
      <c r="F140" s="26"/>
      <c r="G140" s="26"/>
      <c r="H140" s="26"/>
      <c r="I140" s="26"/>
      <c r="J140" s="26"/>
      <c r="K140" s="26"/>
      <c r="O140" s="26"/>
      <c r="P140" s="26"/>
      <c r="Q140" s="26"/>
      <c r="R140" s="26"/>
      <c r="S140" s="26"/>
      <c r="T140" s="26"/>
      <c r="U140" s="26"/>
      <c r="V140" s="26"/>
      <c r="W140" s="26"/>
      <c r="X140" s="26"/>
      <c r="Y140" s="26"/>
      <c r="Z140" s="374"/>
    </row>
    <row r="141" spans="2:26" ht="12.75">
      <c r="B141" s="135"/>
      <c r="F141" s="26"/>
      <c r="G141" s="26"/>
      <c r="H141" s="126" t="s">
        <v>49</v>
      </c>
      <c r="I141" s="412">
        <f>I138-I139</f>
        <v>-8.928645911510102E-08</v>
      </c>
      <c r="J141" s="224" t="s">
        <v>189</v>
      </c>
      <c r="K141" s="26"/>
      <c r="L141" s="26"/>
      <c r="M141" s="26"/>
      <c r="N141" s="26"/>
      <c r="O141" s="26"/>
      <c r="P141" s="26"/>
      <c r="Q141" s="26"/>
      <c r="R141" s="26"/>
      <c r="S141" s="26"/>
      <c r="T141" s="26"/>
      <c r="U141" s="26"/>
      <c r="V141" s="26"/>
      <c r="W141" s="26"/>
      <c r="X141" s="26"/>
      <c r="Y141" s="26"/>
      <c r="Z141" s="374"/>
    </row>
    <row r="142" spans="2:26" ht="12.75">
      <c r="B142" s="135"/>
      <c r="G142" s="26"/>
      <c r="H142" s="26"/>
      <c r="I142" s="26"/>
      <c r="J142" s="26"/>
      <c r="O142" s="26"/>
      <c r="P142" s="26"/>
      <c r="Q142" s="26"/>
      <c r="R142" s="26"/>
      <c r="S142" s="26"/>
      <c r="T142" s="26"/>
      <c r="U142" s="26"/>
      <c r="V142" s="26"/>
      <c r="W142" s="26"/>
      <c r="X142" s="26"/>
      <c r="Y142" s="26"/>
      <c r="Z142" s="374"/>
    </row>
    <row r="143" spans="2:26" ht="12.75">
      <c r="B143" s="135"/>
      <c r="G143" s="26"/>
      <c r="H143" s="26"/>
      <c r="I143" s="26"/>
      <c r="J143" s="26"/>
      <c r="O143" s="26"/>
      <c r="P143" s="26"/>
      <c r="Q143" s="26"/>
      <c r="R143" s="26"/>
      <c r="S143" s="26"/>
      <c r="T143" s="26"/>
      <c r="U143" s="26"/>
      <c r="V143" s="26"/>
      <c r="W143" s="26"/>
      <c r="X143" s="26"/>
      <c r="Y143" s="26"/>
      <c r="Z143" s="374"/>
    </row>
    <row r="144" spans="2:26" ht="12.75">
      <c r="B144" s="135"/>
      <c r="G144" s="26"/>
      <c r="H144" s="26"/>
      <c r="I144" s="26"/>
      <c r="J144" s="26"/>
      <c r="K144" s="26"/>
      <c r="L144" s="26"/>
      <c r="M144" s="91"/>
      <c r="N144" s="26"/>
      <c r="O144" s="26"/>
      <c r="P144" s="26"/>
      <c r="Q144" s="26"/>
      <c r="R144" s="26"/>
      <c r="S144" s="26"/>
      <c r="T144" s="26"/>
      <c r="U144" s="26"/>
      <c r="V144" s="26"/>
      <c r="W144" s="26"/>
      <c r="X144" s="26"/>
      <c r="Y144" s="26"/>
      <c r="Z144" s="374"/>
    </row>
    <row r="145" spans="2:26" ht="12.75">
      <c r="B145" s="135"/>
      <c r="J145" s="26"/>
      <c r="K145" s="26"/>
      <c r="L145" s="26"/>
      <c r="M145" s="91"/>
      <c r="N145" s="26"/>
      <c r="O145" s="26"/>
      <c r="P145" s="26"/>
      <c r="Q145" s="26"/>
      <c r="R145" s="26"/>
      <c r="S145" s="26"/>
      <c r="T145" s="26"/>
      <c r="U145" s="26"/>
      <c r="V145" s="26"/>
      <c r="W145" s="26"/>
      <c r="X145" s="26"/>
      <c r="Y145" s="26"/>
      <c r="Z145" s="374"/>
    </row>
    <row r="146" spans="2:26" ht="15.75">
      <c r="B146" s="135"/>
      <c r="G146" s="26"/>
      <c r="H146" s="115" t="s">
        <v>68</v>
      </c>
      <c r="I146" s="418">
        <f>I139</f>
        <v>3105.489781398042</v>
      </c>
      <c r="J146" s="34" t="s">
        <v>59</v>
      </c>
      <c r="L146" s="26"/>
      <c r="M146" s="26"/>
      <c r="N146" s="26"/>
      <c r="O146" s="26"/>
      <c r="P146" s="26"/>
      <c r="Q146" s="26"/>
      <c r="R146" s="26"/>
      <c r="S146" s="26"/>
      <c r="T146" s="26"/>
      <c r="U146" s="26"/>
      <c r="V146" s="26"/>
      <c r="W146" s="26"/>
      <c r="X146" s="26"/>
      <c r="Y146" s="26"/>
      <c r="Z146" s="374"/>
    </row>
    <row r="147" spans="2:26" ht="14.25">
      <c r="B147" s="135"/>
      <c r="G147" s="26"/>
      <c r="H147" s="411" t="s">
        <v>153</v>
      </c>
      <c r="I147" s="26"/>
      <c r="J147" s="26"/>
      <c r="K147" s="26"/>
      <c r="L147" s="26"/>
      <c r="M147" s="26"/>
      <c r="N147" s="26"/>
      <c r="O147" s="26"/>
      <c r="P147" s="26"/>
      <c r="Q147" s="26"/>
      <c r="R147" s="26"/>
      <c r="S147" s="26"/>
      <c r="T147" s="26"/>
      <c r="U147" s="26"/>
      <c r="V147" s="26"/>
      <c r="W147" s="26"/>
      <c r="X147" s="26"/>
      <c r="Y147" s="26"/>
      <c r="Z147" s="374"/>
    </row>
    <row r="148" spans="2:26" ht="14.25">
      <c r="B148" s="135"/>
      <c r="C148" s="26"/>
      <c r="D148" s="26"/>
      <c r="E148" s="26"/>
      <c r="F148" s="26"/>
      <c r="G148" s="26"/>
      <c r="H148" s="411" t="s">
        <v>600</v>
      </c>
      <c r="I148" s="26"/>
      <c r="J148" s="26"/>
      <c r="K148" s="26"/>
      <c r="L148" s="26"/>
      <c r="M148" s="26"/>
      <c r="N148" s="26"/>
      <c r="O148" s="26"/>
      <c r="P148" s="26"/>
      <c r="Q148" s="26"/>
      <c r="R148" s="26"/>
      <c r="S148" s="26"/>
      <c r="T148" s="26"/>
      <c r="U148" s="26"/>
      <c r="V148" s="26"/>
      <c r="W148" s="26"/>
      <c r="X148" s="26"/>
      <c r="Y148" s="26"/>
      <c r="Z148" s="374"/>
    </row>
    <row r="149" spans="2:26" ht="12.75">
      <c r="B149" s="135"/>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374"/>
    </row>
    <row r="150" spans="2:26" ht="12.75">
      <c r="B150" s="135"/>
      <c r="C150" s="26"/>
      <c r="D150" s="26"/>
      <c r="E150" s="26"/>
      <c r="F150" s="26"/>
      <c r="G150" s="26"/>
      <c r="L150" s="26"/>
      <c r="M150" s="26"/>
      <c r="N150" s="26"/>
      <c r="O150" s="26"/>
      <c r="P150" s="26"/>
      <c r="Q150" s="26"/>
      <c r="R150" s="26"/>
      <c r="S150" s="26"/>
      <c r="T150" s="26"/>
      <c r="U150" s="26"/>
      <c r="V150" s="26"/>
      <c r="W150" s="26"/>
      <c r="X150" s="26"/>
      <c r="Y150" s="26"/>
      <c r="Z150" s="374"/>
    </row>
    <row r="151" spans="2:26" ht="12.75">
      <c r="B151" s="135"/>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374"/>
    </row>
    <row r="152" spans="2:26" ht="12.75">
      <c r="B152" s="135"/>
      <c r="F152" s="26"/>
      <c r="G152" s="26"/>
      <c r="H152" s="26"/>
      <c r="I152" s="26"/>
      <c r="J152" s="26"/>
      <c r="K152" s="26"/>
      <c r="L152" s="26"/>
      <c r="M152" s="26"/>
      <c r="N152" s="26"/>
      <c r="O152" s="26"/>
      <c r="P152" s="26"/>
      <c r="Q152" s="26"/>
      <c r="R152" s="26"/>
      <c r="S152" s="26"/>
      <c r="T152" s="26"/>
      <c r="U152" s="26"/>
      <c r="V152" s="26"/>
      <c r="W152" s="26"/>
      <c r="X152" s="26"/>
      <c r="Y152" s="26"/>
      <c r="Z152" s="374"/>
    </row>
    <row r="153" spans="2:26" ht="12.75">
      <c r="B153" s="135"/>
      <c r="F153" s="26"/>
      <c r="G153" s="26"/>
      <c r="H153" s="26"/>
      <c r="I153" s="26"/>
      <c r="J153" s="26"/>
      <c r="K153" s="26"/>
      <c r="L153" s="26"/>
      <c r="M153" s="26"/>
      <c r="N153" s="26"/>
      <c r="O153" s="26"/>
      <c r="P153" s="26"/>
      <c r="Q153" s="26"/>
      <c r="R153" s="26"/>
      <c r="S153" s="26"/>
      <c r="T153" s="26"/>
      <c r="U153" s="26"/>
      <c r="V153" s="26"/>
      <c r="W153" s="26"/>
      <c r="X153" s="26"/>
      <c r="Y153" s="26"/>
      <c r="Z153" s="374"/>
    </row>
    <row r="154" spans="2:26" ht="12.75">
      <c r="B154" s="135"/>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374"/>
    </row>
    <row r="155" spans="2:26" ht="12.75">
      <c r="B155" s="135"/>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374"/>
    </row>
    <row r="156" spans="2:26" ht="12.75">
      <c r="B156" s="135"/>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374"/>
    </row>
    <row r="157" spans="2:26" ht="12.75">
      <c r="B157" s="135"/>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374"/>
    </row>
    <row r="158" spans="2:26" ht="12.75">
      <c r="B158" s="135"/>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374"/>
    </row>
    <row r="159" spans="2:26" ht="12.75">
      <c r="B159" s="135"/>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374"/>
    </row>
    <row r="160" spans="2:26" ht="12.75">
      <c r="B160" s="135"/>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374"/>
    </row>
    <row r="161" spans="2:26" ht="12.75">
      <c r="B161" s="135"/>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374"/>
    </row>
    <row r="162" spans="2:26" ht="12.75">
      <c r="B162" s="135"/>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374"/>
    </row>
    <row r="163" spans="2:26" ht="12.75">
      <c r="B163" s="135"/>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374"/>
    </row>
    <row r="164" spans="2:26" ht="12.75">
      <c r="B164" s="135"/>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374"/>
    </row>
    <row r="165" spans="2:26" ht="12.75">
      <c r="B165" s="135"/>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374"/>
    </row>
    <row r="166" spans="2:26" ht="12.75">
      <c r="B166" s="135"/>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374"/>
    </row>
    <row r="167" spans="2:26" ht="12.75">
      <c r="B167" s="135"/>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374"/>
    </row>
    <row r="168" spans="2:26" ht="12.75">
      <c r="B168" s="135"/>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374"/>
    </row>
    <row r="169" spans="2:26" ht="13.5" thickBot="1">
      <c r="B169" s="200"/>
      <c r="C169" s="201"/>
      <c r="D169" s="201"/>
      <c r="E169" s="201"/>
      <c r="F169" s="201"/>
      <c r="G169" s="201"/>
      <c r="H169" s="201"/>
      <c r="I169" s="201"/>
      <c r="J169" s="201"/>
      <c r="K169" s="201"/>
      <c r="L169" s="201"/>
      <c r="M169" s="201"/>
      <c r="N169" s="201"/>
      <c r="O169" s="201"/>
      <c r="P169" s="201"/>
      <c r="Q169" s="201"/>
      <c r="R169" s="201"/>
      <c r="S169" s="201"/>
      <c r="T169" s="201"/>
      <c r="U169" s="201"/>
      <c r="V169" s="201"/>
      <c r="W169" s="201"/>
      <c r="X169" s="201"/>
      <c r="Y169" s="201"/>
      <c r="Z169" s="375"/>
    </row>
    <row r="170" ht="13.5" thickTop="1"/>
  </sheetData>
  <sheetProtection/>
  <mergeCells count="3">
    <mergeCell ref="C101:K101"/>
    <mergeCell ref="C95:K95"/>
    <mergeCell ref="F111:H111"/>
  </mergeCells>
  <printOptions/>
  <pageMargins left="0.75" right="0.75" top="1" bottom="1" header="0.5" footer="0.5"/>
  <pageSetup horizontalDpi="600" verticalDpi="600" orientation="landscape" r:id="rId9"/>
  <rowBreaks count="2" manualBreakCount="2">
    <brk id="49" max="255" man="1"/>
    <brk id="107" max="255" man="1"/>
  </rowBreaks>
  <drawing r:id="rId8"/>
  <legacyDrawing r:id="rId7"/>
  <oleObjects>
    <oleObject progId="Equation.3" shapeId="1448590" r:id="rId2"/>
    <oleObject progId="Equation.3" shapeId="1448589" r:id="rId3"/>
    <oleObject progId="Equation.3" shapeId="1448588" r:id="rId4"/>
    <oleObject progId="Equation.3" dvAspect="DVASPECT_ICON" shapeId="1448587" r:id="rId5"/>
    <oleObject progId="Equation.3" shapeId="1448586" r:id="rId6"/>
  </oleObjects>
</worksheet>
</file>

<file path=xl/worksheets/sheet3.xml><?xml version="1.0" encoding="utf-8"?>
<worksheet xmlns="http://schemas.openxmlformats.org/spreadsheetml/2006/main" xmlns:r="http://schemas.openxmlformats.org/officeDocument/2006/relationships">
  <sheetPr codeName="Sheet2"/>
  <dimension ref="A1:X53"/>
  <sheetViews>
    <sheetView showGridLines="0" zoomScalePageLayoutView="0" workbookViewId="0" topLeftCell="A1">
      <selection activeCell="A1" sqref="A1"/>
    </sheetView>
  </sheetViews>
  <sheetFormatPr defaultColWidth="9.140625" defaultRowHeight="12.75"/>
  <cols>
    <col min="1" max="1" width="17.140625" style="0" customWidth="1"/>
    <col min="2" max="2" width="10.28125" style="0" customWidth="1"/>
    <col min="3" max="3" width="17.28125" style="0" customWidth="1"/>
    <col min="4" max="6" width="7.7109375" style="0" customWidth="1"/>
    <col min="7" max="7" width="8.28125" style="0" customWidth="1"/>
    <col min="9" max="9" width="10.00390625" style="0" customWidth="1"/>
    <col min="10" max="10" width="9.00390625" style="0" customWidth="1"/>
    <col min="11" max="11" width="8.57421875" style="0" customWidth="1"/>
    <col min="12" max="12" width="8.8515625" style="0" customWidth="1"/>
    <col min="13" max="13" width="15.140625" style="0" customWidth="1"/>
    <col min="14" max="14" width="13.8515625" style="0" customWidth="1"/>
    <col min="15" max="15" width="14.140625" style="0" customWidth="1"/>
    <col min="19" max="19" width="8.7109375" style="0" customWidth="1"/>
    <col min="20" max="20" width="10.57421875" style="44" customWidth="1"/>
    <col min="21" max="21" width="10.00390625" style="44" customWidth="1"/>
    <col min="22" max="22" width="10.28125" style="0" customWidth="1"/>
    <col min="23" max="23" width="11.57421875" style="0" customWidth="1"/>
    <col min="24" max="24" width="9.00390625" style="0" customWidth="1"/>
  </cols>
  <sheetData>
    <row r="1" spans="1:24" ht="13.5" thickTop="1">
      <c r="A1" s="257" t="s">
        <v>84</v>
      </c>
      <c r="B1" s="258"/>
      <c r="C1" s="258"/>
      <c r="D1" s="258"/>
      <c r="E1" s="258"/>
      <c r="F1" s="258"/>
      <c r="G1" s="258"/>
      <c r="H1" s="258"/>
      <c r="I1" s="258"/>
      <c r="J1" s="258"/>
      <c r="K1" s="258"/>
      <c r="L1" s="258"/>
      <c r="M1" s="258"/>
      <c r="N1" s="258"/>
      <c r="O1" s="258"/>
      <c r="P1" s="258"/>
      <c r="Q1" s="258"/>
      <c r="R1" s="258"/>
      <c r="S1" s="258"/>
      <c r="T1" s="259"/>
      <c r="U1" s="259"/>
      <c r="V1" s="258"/>
      <c r="W1" s="258"/>
      <c r="X1" s="260"/>
    </row>
    <row r="2" spans="1:24" ht="12.75">
      <c r="A2" s="261"/>
      <c r="B2" s="26"/>
      <c r="C2" s="26"/>
      <c r="D2" s="26"/>
      <c r="E2" s="26"/>
      <c r="F2" s="26"/>
      <c r="G2" s="26"/>
      <c r="H2" s="26"/>
      <c r="I2" s="26"/>
      <c r="J2" s="26"/>
      <c r="K2" s="26"/>
      <c r="L2" s="26"/>
      <c r="M2" s="26"/>
      <c r="N2" s="26"/>
      <c r="O2" s="26"/>
      <c r="P2" s="26"/>
      <c r="Q2" s="26"/>
      <c r="R2" s="26"/>
      <c r="S2" s="26"/>
      <c r="T2" s="59"/>
      <c r="U2" s="59"/>
      <c r="V2" s="26"/>
      <c r="W2" s="26"/>
      <c r="X2" s="262"/>
    </row>
    <row r="3" spans="1:24" ht="69.75" customHeight="1">
      <c r="A3" s="703" t="s">
        <v>162</v>
      </c>
      <c r="B3" s="701"/>
      <c r="C3" s="701"/>
      <c r="D3" s="701"/>
      <c r="E3" s="701"/>
      <c r="F3" s="701"/>
      <c r="G3" s="701"/>
      <c r="H3" s="701"/>
      <c r="I3" s="701"/>
      <c r="J3" s="701"/>
      <c r="K3" s="701"/>
      <c r="L3" s="701"/>
      <c r="M3" s="26"/>
      <c r="N3" s="26"/>
      <c r="O3" s="26"/>
      <c r="P3" s="26"/>
      <c r="Q3" s="26"/>
      <c r="R3" s="26"/>
      <c r="S3" s="26"/>
      <c r="T3" s="59"/>
      <c r="U3" s="59"/>
      <c r="V3" s="26"/>
      <c r="W3" s="26"/>
      <c r="X3" s="262"/>
    </row>
    <row r="4" spans="1:24" ht="12.75" customHeight="1">
      <c r="A4" s="261"/>
      <c r="B4" s="26"/>
      <c r="C4" s="26"/>
      <c r="D4" s="26"/>
      <c r="E4" s="26"/>
      <c r="F4" s="26"/>
      <c r="G4" s="26"/>
      <c r="H4" s="26"/>
      <c r="I4" s="26"/>
      <c r="J4" s="26"/>
      <c r="K4" s="26"/>
      <c r="L4" s="26"/>
      <c r="M4" s="26"/>
      <c r="N4" s="26"/>
      <c r="O4" s="26"/>
      <c r="P4" s="26"/>
      <c r="Q4" s="26"/>
      <c r="R4" s="26"/>
      <c r="S4" s="26"/>
      <c r="T4" s="59"/>
      <c r="U4" s="59"/>
      <c r="V4" s="26"/>
      <c r="W4" s="26"/>
      <c r="X4" s="262"/>
    </row>
    <row r="5" spans="1:24" s="5" customFormat="1" ht="12.75">
      <c r="A5" s="263">
        <v>1</v>
      </c>
      <c r="B5" s="91">
        <v>2</v>
      </c>
      <c r="C5" s="91">
        <v>3</v>
      </c>
      <c r="D5" s="91">
        <v>4</v>
      </c>
      <c r="E5" s="91">
        <v>5</v>
      </c>
      <c r="F5" s="91">
        <v>6</v>
      </c>
      <c r="G5" s="91">
        <v>7</v>
      </c>
      <c r="H5" s="91">
        <v>8</v>
      </c>
      <c r="I5" s="91">
        <v>9</v>
      </c>
      <c r="J5" s="91">
        <v>10</v>
      </c>
      <c r="K5" s="91">
        <v>11</v>
      </c>
      <c r="L5" s="91">
        <v>12</v>
      </c>
      <c r="M5" s="91">
        <v>13</v>
      </c>
      <c r="N5" s="91">
        <v>14</v>
      </c>
      <c r="O5" s="91">
        <v>15</v>
      </c>
      <c r="P5" s="91">
        <v>16</v>
      </c>
      <c r="Q5" s="91">
        <v>17</v>
      </c>
      <c r="R5" s="91">
        <v>18</v>
      </c>
      <c r="S5" s="91">
        <v>19</v>
      </c>
      <c r="T5" s="91">
        <v>20</v>
      </c>
      <c r="U5" s="91">
        <v>21</v>
      </c>
      <c r="V5" s="91">
        <v>22</v>
      </c>
      <c r="W5" s="91">
        <v>23</v>
      </c>
      <c r="X5" s="264">
        <v>24</v>
      </c>
    </row>
    <row r="6" spans="1:24" ht="12.75">
      <c r="A6" s="261"/>
      <c r="B6" s="26"/>
      <c r="C6" s="26"/>
      <c r="D6" s="26"/>
      <c r="E6" s="26"/>
      <c r="F6" s="26"/>
      <c r="G6" s="26"/>
      <c r="H6" s="26"/>
      <c r="I6" s="26"/>
      <c r="J6" s="26"/>
      <c r="K6" s="26"/>
      <c r="L6" s="26"/>
      <c r="M6" s="26"/>
      <c r="N6" s="26"/>
      <c r="O6" s="26"/>
      <c r="P6" s="26"/>
      <c r="Q6" s="26"/>
      <c r="R6" s="26"/>
      <c r="S6" s="26"/>
      <c r="T6" s="59"/>
      <c r="U6" s="59"/>
      <c r="V6" s="26"/>
      <c r="W6" s="26"/>
      <c r="X6" s="262"/>
    </row>
    <row r="7" spans="1:24" ht="12.75">
      <c r="A7" s="261"/>
      <c r="B7" s="26"/>
      <c r="C7" s="26"/>
      <c r="D7" s="26"/>
      <c r="E7" s="26"/>
      <c r="F7" s="26"/>
      <c r="G7" s="26"/>
      <c r="H7" s="26"/>
      <c r="I7" s="26"/>
      <c r="J7" s="26"/>
      <c r="K7" s="26"/>
      <c r="L7" s="26"/>
      <c r="M7" s="26"/>
      <c r="N7" s="26"/>
      <c r="O7" s="26"/>
      <c r="P7" s="26"/>
      <c r="Q7" s="26"/>
      <c r="R7" s="26"/>
      <c r="S7" s="26"/>
      <c r="T7" s="59"/>
      <c r="U7" s="59"/>
      <c r="V7" s="26"/>
      <c r="W7" s="26"/>
      <c r="X7" s="262"/>
    </row>
    <row r="8" spans="1:24" ht="12.75">
      <c r="A8" s="302" t="s">
        <v>18</v>
      </c>
      <c r="B8" s="303" t="s">
        <v>18</v>
      </c>
      <c r="C8" s="303" t="s">
        <v>18</v>
      </c>
      <c r="D8" s="303" t="s">
        <v>18</v>
      </c>
      <c r="E8" s="303" t="s">
        <v>18</v>
      </c>
      <c r="F8" s="303" t="s">
        <v>18</v>
      </c>
      <c r="G8" s="303" t="s">
        <v>18</v>
      </c>
      <c r="H8" s="303" t="s">
        <v>18</v>
      </c>
      <c r="I8" s="303" t="s">
        <v>18</v>
      </c>
      <c r="J8" s="303" t="s">
        <v>18</v>
      </c>
      <c r="K8" s="303" t="s">
        <v>18</v>
      </c>
      <c r="L8" s="303" t="s">
        <v>18</v>
      </c>
      <c r="M8" s="26"/>
      <c r="N8" s="285">
        <v>1</v>
      </c>
      <c r="O8" s="285">
        <v>2</v>
      </c>
      <c r="P8" s="285">
        <v>3</v>
      </c>
      <c r="Q8" s="285">
        <v>4</v>
      </c>
      <c r="R8" s="285">
        <v>5</v>
      </c>
      <c r="S8" s="285">
        <v>6</v>
      </c>
      <c r="T8" s="285">
        <v>7</v>
      </c>
      <c r="U8" s="285">
        <v>8</v>
      </c>
      <c r="V8" s="285">
        <v>9</v>
      </c>
      <c r="W8" s="285">
        <v>10</v>
      </c>
      <c r="X8" s="286">
        <v>11</v>
      </c>
    </row>
    <row r="9" spans="1:24" ht="12.75">
      <c r="A9" s="265" t="s">
        <v>161</v>
      </c>
      <c r="B9" s="26"/>
      <c r="C9" s="26"/>
      <c r="D9" s="26"/>
      <c r="E9" s="26"/>
      <c r="F9" s="26"/>
      <c r="G9" s="26"/>
      <c r="H9" s="26"/>
      <c r="I9" s="26"/>
      <c r="J9" s="26"/>
      <c r="K9" s="26"/>
      <c r="L9" s="65"/>
      <c r="M9" s="70"/>
      <c r="N9" s="26"/>
      <c r="O9" s="26"/>
      <c r="P9" s="26"/>
      <c r="Q9" s="26"/>
      <c r="R9" s="26"/>
      <c r="S9" s="26"/>
      <c r="T9" s="59"/>
      <c r="U9" s="59"/>
      <c r="V9" s="26"/>
      <c r="W9" s="26"/>
      <c r="X9" s="262"/>
    </row>
    <row r="10" spans="1:24" ht="12.75">
      <c r="A10" s="265"/>
      <c r="B10" s="26"/>
      <c r="C10" s="304" t="s">
        <v>328</v>
      </c>
      <c r="D10" s="26"/>
      <c r="E10" s="26"/>
      <c r="F10" s="26"/>
      <c r="G10" s="26"/>
      <c r="H10" s="26"/>
      <c r="I10" s="26"/>
      <c r="J10" s="26"/>
      <c r="K10" s="26"/>
      <c r="L10" s="65"/>
      <c r="M10" s="26"/>
      <c r="N10" s="26"/>
      <c r="O10" s="26"/>
      <c r="P10" s="26"/>
      <c r="Q10" s="26"/>
      <c r="R10" s="26"/>
      <c r="S10" s="26"/>
      <c r="T10" s="59"/>
      <c r="U10" s="59"/>
      <c r="V10" s="26"/>
      <c r="W10" s="26"/>
      <c r="X10" s="262"/>
    </row>
    <row r="11" spans="1:24" ht="12.75">
      <c r="A11" s="266" t="s">
        <v>120</v>
      </c>
      <c r="B11" s="26"/>
      <c r="C11" s="26"/>
      <c r="D11" s="26"/>
      <c r="E11" s="26"/>
      <c r="F11" s="26"/>
      <c r="G11" s="26"/>
      <c r="H11" s="26"/>
      <c r="I11" s="26"/>
      <c r="J11" s="26"/>
      <c r="K11" s="26"/>
      <c r="L11" s="65"/>
      <c r="M11" s="26"/>
      <c r="N11" s="304" t="s">
        <v>327</v>
      </c>
      <c r="O11" s="26"/>
      <c r="P11" s="26"/>
      <c r="Q11" s="26"/>
      <c r="R11" s="26"/>
      <c r="S11" s="26"/>
      <c r="T11" s="59"/>
      <c r="U11" s="59"/>
      <c r="V11" s="26"/>
      <c r="W11" s="26"/>
      <c r="X11" s="262"/>
    </row>
    <row r="12" spans="1:24" ht="13.5" thickBot="1">
      <c r="A12" s="266" t="s">
        <v>150</v>
      </c>
      <c r="B12" s="26"/>
      <c r="C12" s="26"/>
      <c r="D12" s="26"/>
      <c r="E12" s="26"/>
      <c r="F12" s="26"/>
      <c r="G12" s="26"/>
      <c r="H12" s="26"/>
      <c r="I12" s="26"/>
      <c r="J12" s="26"/>
      <c r="K12" s="26"/>
      <c r="L12" s="65"/>
      <c r="M12" s="26"/>
      <c r="N12" s="60"/>
      <c r="O12" s="26"/>
      <c r="P12" s="26"/>
      <c r="Q12" s="26"/>
      <c r="R12" s="224" t="s">
        <v>18</v>
      </c>
      <c r="S12" s="26"/>
      <c r="T12" s="59"/>
      <c r="U12" s="59"/>
      <c r="V12" s="26"/>
      <c r="W12" s="26"/>
      <c r="X12" s="262"/>
    </row>
    <row r="13" spans="1:24" ht="12.75">
      <c r="A13" s="261" t="s">
        <v>168</v>
      </c>
      <c r="B13" s="26"/>
      <c r="C13" s="26"/>
      <c r="D13" s="26"/>
      <c r="E13" s="26"/>
      <c r="F13" s="26"/>
      <c r="G13" s="26"/>
      <c r="H13" s="26"/>
      <c r="I13" s="26"/>
      <c r="J13" s="26"/>
      <c r="K13" s="26"/>
      <c r="L13" s="65"/>
      <c r="M13" s="26"/>
      <c r="N13" s="26"/>
      <c r="O13" s="26"/>
      <c r="P13" s="706" t="s">
        <v>192</v>
      </c>
      <c r="Q13" s="707"/>
      <c r="R13" s="707"/>
      <c r="S13" s="254" t="s">
        <v>313</v>
      </c>
      <c r="T13" s="255"/>
      <c r="U13" s="256"/>
      <c r="V13" s="74" t="s">
        <v>191</v>
      </c>
      <c r="W13" s="74" t="s">
        <v>60</v>
      </c>
      <c r="X13" s="262"/>
    </row>
    <row r="14" spans="1:24" ht="13.5" thickBot="1">
      <c r="A14" s="267"/>
      <c r="B14" s="42"/>
      <c r="C14" s="42"/>
      <c r="D14" s="43" t="s">
        <v>87</v>
      </c>
      <c r="E14" s="43"/>
      <c r="F14" s="43"/>
      <c r="G14" s="43" t="s">
        <v>88</v>
      </c>
      <c r="H14" s="45"/>
      <c r="I14" s="45"/>
      <c r="J14" s="42"/>
      <c r="K14" s="42"/>
      <c r="L14" s="66"/>
      <c r="M14" s="26"/>
      <c r="N14" s="42"/>
      <c r="O14" s="106"/>
      <c r="P14" s="108" t="s">
        <v>87</v>
      </c>
      <c r="Q14" s="109"/>
      <c r="R14" s="252"/>
      <c r="S14" s="251" t="s">
        <v>88</v>
      </c>
      <c r="T14" s="103"/>
      <c r="U14" s="105"/>
      <c r="V14" s="104"/>
      <c r="W14" s="42"/>
      <c r="X14" s="268"/>
    </row>
    <row r="15" spans="1:24" ht="36" customHeight="1">
      <c r="A15" s="269" t="s">
        <v>139</v>
      </c>
      <c r="B15" s="47" t="s">
        <v>86</v>
      </c>
      <c r="C15" s="48" t="s">
        <v>125</v>
      </c>
      <c r="D15" s="47" t="s">
        <v>112</v>
      </c>
      <c r="E15" s="47" t="s">
        <v>113</v>
      </c>
      <c r="F15" s="47" t="s">
        <v>115</v>
      </c>
      <c r="G15" s="250" t="s">
        <v>172</v>
      </c>
      <c r="H15" s="250" t="s">
        <v>173</v>
      </c>
      <c r="I15" s="250" t="s">
        <v>314</v>
      </c>
      <c r="J15" s="48" t="s">
        <v>121</v>
      </c>
      <c r="K15" s="48" t="s">
        <v>122</v>
      </c>
      <c r="L15" s="67"/>
      <c r="M15" s="26"/>
      <c r="N15" s="52" t="s">
        <v>85</v>
      </c>
      <c r="O15" s="52" t="s">
        <v>86</v>
      </c>
      <c r="P15" s="107" t="s">
        <v>112</v>
      </c>
      <c r="Q15" s="107" t="s">
        <v>113</v>
      </c>
      <c r="R15" s="107" t="s">
        <v>115</v>
      </c>
      <c r="S15" s="253" t="s">
        <v>172</v>
      </c>
      <c r="T15" s="253" t="s">
        <v>173</v>
      </c>
      <c r="U15" s="253" t="s">
        <v>314</v>
      </c>
      <c r="V15" s="53" t="s">
        <v>91</v>
      </c>
      <c r="W15" s="53" t="s">
        <v>90</v>
      </c>
      <c r="X15" s="270" t="s">
        <v>147</v>
      </c>
    </row>
    <row r="16" spans="1:24" ht="12.75">
      <c r="A16" s="271"/>
      <c r="B16" s="7"/>
      <c r="C16" s="7"/>
      <c r="D16" s="7" t="s">
        <v>111</v>
      </c>
      <c r="E16" s="7" t="s">
        <v>114</v>
      </c>
      <c r="F16" s="7" t="s">
        <v>116</v>
      </c>
      <c r="G16" s="7"/>
      <c r="H16" s="49"/>
      <c r="I16" s="49"/>
      <c r="J16" s="7" t="s">
        <v>89</v>
      </c>
      <c r="K16" s="7" t="s">
        <v>92</v>
      </c>
      <c r="L16" s="68"/>
      <c r="M16" s="26"/>
      <c r="N16" s="7"/>
      <c r="O16" s="7"/>
      <c r="P16" s="7" t="s">
        <v>111</v>
      </c>
      <c r="Q16" s="7" t="s">
        <v>114</v>
      </c>
      <c r="R16" s="7" t="s">
        <v>116</v>
      </c>
      <c r="S16" s="7"/>
      <c r="T16" s="49"/>
      <c r="U16" s="49"/>
      <c r="V16" s="7" t="s">
        <v>89</v>
      </c>
      <c r="W16" s="7" t="s">
        <v>92</v>
      </c>
      <c r="X16" s="272"/>
    </row>
    <row r="17" spans="1:24" ht="12.75">
      <c r="A17" s="273"/>
      <c r="B17" s="8"/>
      <c r="C17" s="8"/>
      <c r="D17" s="8"/>
      <c r="E17" s="8"/>
      <c r="F17" s="8"/>
      <c r="G17" s="8"/>
      <c r="H17" s="50"/>
      <c r="I17" s="50"/>
      <c r="J17" s="8"/>
      <c r="K17" s="8"/>
      <c r="L17" s="69"/>
      <c r="M17" s="26"/>
      <c r="N17" s="8"/>
      <c r="O17" s="8"/>
      <c r="P17" s="8"/>
      <c r="Q17" s="8"/>
      <c r="R17" s="8"/>
      <c r="S17" s="8"/>
      <c r="T17" s="50"/>
      <c r="U17" s="50"/>
      <c r="V17" s="8"/>
      <c r="W17" s="8"/>
      <c r="X17" s="274"/>
    </row>
    <row r="18" spans="1:24" ht="15.75">
      <c r="A18" s="275" t="s">
        <v>93</v>
      </c>
      <c r="B18" s="7" t="str">
        <f>VLOOKUP($A18,$N$18:$W$39,2,0)</f>
        <v>CH4 </v>
      </c>
      <c r="C18" s="290">
        <v>0.9</v>
      </c>
      <c r="D18" s="7">
        <f>VLOOKUP($A18,$N$18:$W$39,3,0)</f>
        <v>1</v>
      </c>
      <c r="E18" s="7">
        <f>VLOOKUP($A18,$N$18:$W$39,4,0)</f>
        <v>4</v>
      </c>
      <c r="F18" s="7">
        <f>VLOOKUP($A18,$N$18:$W$39,5,0)</f>
        <v>0</v>
      </c>
      <c r="G18" s="7">
        <f>VLOOKUP($A18,$N$18:$W$39,6,0)</f>
        <v>3.381</v>
      </c>
      <c r="H18" s="7">
        <f>VLOOKUP($A18,$N$18:$W$39,7,0)</f>
        <v>0.018044</v>
      </c>
      <c r="I18" s="7">
        <f>VLOOKUP($A18,$N$18:$W$39,8,0)</f>
        <v>-4.3E-06</v>
      </c>
      <c r="J18" s="7">
        <f>VLOOKUP($A18,$N$18:$W$39,9,0)</f>
        <v>16.041</v>
      </c>
      <c r="K18" s="7">
        <f>VLOOKUP($A18,$N$18:$W$39,10,0)</f>
        <v>21520</v>
      </c>
      <c r="L18" s="68"/>
      <c r="M18" s="26"/>
      <c r="N18" s="96" t="s">
        <v>93</v>
      </c>
      <c r="O18" s="96" t="s">
        <v>108</v>
      </c>
      <c r="P18" s="96">
        <v>1</v>
      </c>
      <c r="Q18" s="96">
        <v>4</v>
      </c>
      <c r="R18" s="96">
        <v>0</v>
      </c>
      <c r="S18" s="97">
        <v>3.381</v>
      </c>
      <c r="T18" s="98">
        <v>0.018044</v>
      </c>
      <c r="U18" s="98">
        <v>-4.3E-06</v>
      </c>
      <c r="V18" s="96">
        <v>16.041</v>
      </c>
      <c r="W18" s="96">
        <v>21520</v>
      </c>
      <c r="X18" s="274" t="b">
        <v>1</v>
      </c>
    </row>
    <row r="19" spans="1:24" ht="15.75">
      <c r="A19" s="275" t="s">
        <v>94</v>
      </c>
      <c r="B19" s="7" t="str">
        <f>VLOOKUP($A19,$N$18:$W$39,2,0)</f>
        <v>C2H6 </v>
      </c>
      <c r="C19" s="290">
        <v>0.06</v>
      </c>
      <c r="D19" s="7">
        <f>VLOOKUP($A19,$N$18:$W$39,3,0)</f>
        <v>2</v>
      </c>
      <c r="E19" s="7">
        <f>VLOOKUP($A19,$N$18:$W$39,4,0)</f>
        <v>6</v>
      </c>
      <c r="F19" s="7">
        <f>VLOOKUP($A19,$N$18:$W$39,5,0)</f>
        <v>0</v>
      </c>
      <c r="G19" s="7">
        <f>VLOOKUP($A19,$N$18:$W$39,6,0)</f>
        <v>2.247</v>
      </c>
      <c r="H19" s="7">
        <f>VLOOKUP($A19,$N$18:$W$39,7,0)</f>
        <v>0.038201</v>
      </c>
      <c r="I19" s="7">
        <f>VLOOKUP($A19,$N$18:$W$39,8,0)</f>
        <v>-1.1049E-05</v>
      </c>
      <c r="J19" s="7">
        <f>VLOOKUP($A19,$N$18:$W$39,9,0)</f>
        <v>30.067</v>
      </c>
      <c r="K19" s="7">
        <f>VLOOKUP($A19,$N$18:$W$39,10,0)</f>
        <v>20432</v>
      </c>
      <c r="L19" s="68"/>
      <c r="M19" s="26"/>
      <c r="N19" s="96" t="s">
        <v>94</v>
      </c>
      <c r="O19" s="96" t="s">
        <v>109</v>
      </c>
      <c r="P19" s="96">
        <v>2</v>
      </c>
      <c r="Q19" s="96">
        <v>6</v>
      </c>
      <c r="R19" s="96">
        <v>0</v>
      </c>
      <c r="S19" s="97">
        <v>2.247</v>
      </c>
      <c r="T19" s="98">
        <v>0.038201</v>
      </c>
      <c r="U19" s="98">
        <v>-1.1049E-05</v>
      </c>
      <c r="V19" s="96">
        <v>30.067</v>
      </c>
      <c r="W19" s="96">
        <v>20432</v>
      </c>
      <c r="X19" s="274" t="b">
        <v>1</v>
      </c>
    </row>
    <row r="20" spans="1:24" ht="15.75">
      <c r="A20" s="275" t="s">
        <v>107</v>
      </c>
      <c r="B20" s="7" t="str">
        <f aca="true" t="shared" si="0" ref="B20:B31">VLOOKUP($A20,$N$18:$W$39,2,0)</f>
        <v>N2</v>
      </c>
      <c r="C20" s="290">
        <v>0.04</v>
      </c>
      <c r="D20" s="7">
        <f aca="true" t="shared" si="1" ref="D20:D31">VLOOKUP($A20,$N$18:$W$39,3,0)</f>
        <v>0</v>
      </c>
      <c r="E20" s="7">
        <f aca="true" t="shared" si="2" ref="E20:E31">VLOOKUP($A20,$N$18:$W$39,4,0)</f>
        <v>0</v>
      </c>
      <c r="F20" s="7">
        <f aca="true" t="shared" si="3" ref="F20:F31">VLOOKUP($A20,$N$18:$W$39,5,0)</f>
        <v>0</v>
      </c>
      <c r="G20" s="7">
        <f aca="true" t="shared" si="4" ref="G20:G31">VLOOKUP($A20,$N$18:$W$39,6,0)</f>
        <v>6.83</v>
      </c>
      <c r="H20" s="7">
        <f aca="true" t="shared" si="5" ref="H20:H31">VLOOKUP($A20,$N$18:$W$39,7,0)</f>
        <v>0.0009</v>
      </c>
      <c r="I20" s="7">
        <f aca="true" t="shared" si="6" ref="I20:I31">VLOOKUP($A20,$N$18:$W$39,8,0)</f>
        <v>-12000</v>
      </c>
      <c r="J20" s="7">
        <f aca="true" t="shared" si="7" ref="J20:J31">VLOOKUP($A20,$N$18:$W$39,9,0)</f>
        <v>28.016</v>
      </c>
      <c r="K20" s="7">
        <f aca="true" t="shared" si="8" ref="K20:K31">VLOOKUP($A20,$N$18:$W$39,10,0)</f>
        <v>0</v>
      </c>
      <c r="L20" s="68"/>
      <c r="M20" s="26"/>
      <c r="N20" s="96" t="s">
        <v>95</v>
      </c>
      <c r="O20" s="96" t="s">
        <v>110</v>
      </c>
      <c r="P20" s="96">
        <v>3</v>
      </c>
      <c r="Q20" s="96">
        <v>8</v>
      </c>
      <c r="R20" s="96">
        <v>0</v>
      </c>
      <c r="S20" s="97">
        <v>2.41</v>
      </c>
      <c r="T20" s="98">
        <v>0.057195</v>
      </c>
      <c r="U20" s="98">
        <v>-1.7533E-05</v>
      </c>
      <c r="V20" s="96">
        <v>44.042</v>
      </c>
      <c r="W20" s="96">
        <v>19944</v>
      </c>
      <c r="X20" s="274" t="b">
        <v>1</v>
      </c>
    </row>
    <row r="21" spans="1:24" ht="15.75">
      <c r="A21" s="275" t="s">
        <v>123</v>
      </c>
      <c r="B21" s="8" t="str">
        <f t="shared" si="0"/>
        <v>-</v>
      </c>
      <c r="C21" s="51" t="s">
        <v>18</v>
      </c>
      <c r="D21" s="8" t="str">
        <f t="shared" si="1"/>
        <v>-</v>
      </c>
      <c r="E21" s="8" t="str">
        <f t="shared" si="2"/>
        <v>-</v>
      </c>
      <c r="F21" s="8" t="str">
        <f t="shared" si="3"/>
        <v>-</v>
      </c>
      <c r="G21" s="8" t="str">
        <f t="shared" si="4"/>
        <v>-</v>
      </c>
      <c r="H21" s="8" t="str">
        <f t="shared" si="5"/>
        <v>-</v>
      </c>
      <c r="I21" s="8" t="str">
        <f t="shared" si="6"/>
        <v>-</v>
      </c>
      <c r="J21" s="8" t="str">
        <f t="shared" si="7"/>
        <v>-</v>
      </c>
      <c r="K21" s="8" t="str">
        <f t="shared" si="8"/>
        <v>-</v>
      </c>
      <c r="L21" s="69"/>
      <c r="M21" s="26"/>
      <c r="N21" s="99" t="s">
        <v>126</v>
      </c>
      <c r="O21" s="96" t="s">
        <v>118</v>
      </c>
      <c r="P21" s="96">
        <v>4</v>
      </c>
      <c r="Q21" s="96">
        <v>10</v>
      </c>
      <c r="R21" s="96">
        <v>0</v>
      </c>
      <c r="S21" s="97">
        <v>3.844</v>
      </c>
      <c r="T21" s="98">
        <v>0.07335</v>
      </c>
      <c r="U21" s="98">
        <v>-2.2655E-05</v>
      </c>
      <c r="V21" s="96">
        <v>58.118</v>
      </c>
      <c r="W21" s="96">
        <v>19680</v>
      </c>
      <c r="X21" s="274" t="b">
        <v>1</v>
      </c>
    </row>
    <row r="22" spans="1:24" ht="15.75">
      <c r="A22" s="275" t="s">
        <v>123</v>
      </c>
      <c r="B22" s="8" t="str">
        <f t="shared" si="0"/>
        <v>-</v>
      </c>
      <c r="C22" s="51"/>
      <c r="D22" s="8" t="str">
        <f t="shared" si="1"/>
        <v>-</v>
      </c>
      <c r="E22" s="8" t="str">
        <f t="shared" si="2"/>
        <v>-</v>
      </c>
      <c r="F22" s="8" t="str">
        <f t="shared" si="3"/>
        <v>-</v>
      </c>
      <c r="G22" s="8" t="str">
        <f t="shared" si="4"/>
        <v>-</v>
      </c>
      <c r="H22" s="8" t="str">
        <f t="shared" si="5"/>
        <v>-</v>
      </c>
      <c r="I22" s="8" t="str">
        <f t="shared" si="6"/>
        <v>-</v>
      </c>
      <c r="J22" s="8" t="str">
        <f t="shared" si="7"/>
        <v>-</v>
      </c>
      <c r="K22" s="8" t="str">
        <f t="shared" si="8"/>
        <v>-</v>
      </c>
      <c r="L22" s="69"/>
      <c r="M22" s="26"/>
      <c r="N22" s="99" t="s">
        <v>127</v>
      </c>
      <c r="O22" s="96" t="s">
        <v>117</v>
      </c>
      <c r="P22" s="96">
        <v>5</v>
      </c>
      <c r="Q22" s="96">
        <v>12</v>
      </c>
      <c r="R22" s="96">
        <v>0</v>
      </c>
      <c r="S22" s="97">
        <v>4.895</v>
      </c>
      <c r="T22" s="98">
        <v>0.090133</v>
      </c>
      <c r="U22" s="98">
        <v>-2.8039E-05</v>
      </c>
      <c r="V22" s="96">
        <v>72.144</v>
      </c>
      <c r="W22" s="96">
        <v>19517</v>
      </c>
      <c r="X22" s="274" t="b">
        <v>1</v>
      </c>
    </row>
    <row r="23" spans="1:24" ht="15.75">
      <c r="A23" s="275" t="s">
        <v>123</v>
      </c>
      <c r="B23" s="8" t="str">
        <f t="shared" si="0"/>
        <v>-</v>
      </c>
      <c r="C23" s="51"/>
      <c r="D23" s="8" t="str">
        <f t="shared" si="1"/>
        <v>-</v>
      </c>
      <c r="E23" s="8" t="str">
        <f t="shared" si="2"/>
        <v>-</v>
      </c>
      <c r="F23" s="8" t="str">
        <f t="shared" si="3"/>
        <v>-</v>
      </c>
      <c r="G23" s="8" t="str">
        <f t="shared" si="4"/>
        <v>-</v>
      </c>
      <c r="H23" s="8" t="str">
        <f t="shared" si="5"/>
        <v>-</v>
      </c>
      <c r="I23" s="8" t="str">
        <f t="shared" si="6"/>
        <v>-</v>
      </c>
      <c r="J23" s="8" t="str">
        <f t="shared" si="7"/>
        <v>-</v>
      </c>
      <c r="K23" s="8" t="str">
        <f t="shared" si="8"/>
        <v>-</v>
      </c>
      <c r="L23" s="69"/>
      <c r="M23" s="26"/>
      <c r="N23" s="99" t="s">
        <v>128</v>
      </c>
      <c r="O23" s="96" t="s">
        <v>119</v>
      </c>
      <c r="P23" s="96">
        <v>6</v>
      </c>
      <c r="Q23" s="96">
        <v>14</v>
      </c>
      <c r="R23" s="96">
        <v>0</v>
      </c>
      <c r="S23" s="97">
        <v>6.011</v>
      </c>
      <c r="T23" s="98">
        <v>0.106746</v>
      </c>
      <c r="U23" s="98">
        <v>-3.3363E-05</v>
      </c>
      <c r="V23" s="96">
        <v>86.169</v>
      </c>
      <c r="W23" s="96">
        <v>19403</v>
      </c>
      <c r="X23" s="274" t="b">
        <v>1</v>
      </c>
    </row>
    <row r="24" spans="1:24" ht="15.75">
      <c r="A24" s="275" t="s">
        <v>123</v>
      </c>
      <c r="B24" s="8" t="str">
        <f t="shared" si="0"/>
        <v>-</v>
      </c>
      <c r="C24" s="51"/>
      <c r="D24" s="8" t="str">
        <f t="shared" si="1"/>
        <v>-</v>
      </c>
      <c r="E24" s="8" t="str">
        <f t="shared" si="2"/>
        <v>-</v>
      </c>
      <c r="F24" s="8" t="str">
        <f t="shared" si="3"/>
        <v>-</v>
      </c>
      <c r="G24" s="8" t="str">
        <f t="shared" si="4"/>
        <v>-</v>
      </c>
      <c r="H24" s="8" t="str">
        <f t="shared" si="5"/>
        <v>-</v>
      </c>
      <c r="I24" s="8" t="str">
        <f t="shared" si="6"/>
        <v>-</v>
      </c>
      <c r="J24" s="8" t="str">
        <f t="shared" si="7"/>
        <v>-</v>
      </c>
      <c r="K24" s="8" t="str">
        <f t="shared" si="8"/>
        <v>-</v>
      </c>
      <c r="L24" s="69"/>
      <c r="M24" s="26"/>
      <c r="N24" s="96" t="s">
        <v>96</v>
      </c>
      <c r="O24" s="96" t="s">
        <v>129</v>
      </c>
      <c r="P24" s="96">
        <v>2</v>
      </c>
      <c r="Q24" s="96">
        <v>4</v>
      </c>
      <c r="R24" s="96">
        <v>0</v>
      </c>
      <c r="S24" s="97">
        <v>2.83</v>
      </c>
      <c r="T24" s="98">
        <v>0.028601</v>
      </c>
      <c r="U24" s="98">
        <v>-8.726E-06</v>
      </c>
      <c r="V24" s="96">
        <v>28.051</v>
      </c>
      <c r="W24" s="96">
        <v>20295</v>
      </c>
      <c r="X24" s="274" t="b">
        <v>1</v>
      </c>
    </row>
    <row r="25" spans="1:24" ht="15.75">
      <c r="A25" s="275" t="s">
        <v>123</v>
      </c>
      <c r="B25" s="8" t="str">
        <f t="shared" si="0"/>
        <v>-</v>
      </c>
      <c r="C25" s="51"/>
      <c r="D25" s="8" t="str">
        <f t="shared" si="1"/>
        <v>-</v>
      </c>
      <c r="E25" s="8" t="str">
        <f t="shared" si="2"/>
        <v>-</v>
      </c>
      <c r="F25" s="8" t="str">
        <f t="shared" si="3"/>
        <v>-</v>
      </c>
      <c r="G25" s="8" t="str">
        <f t="shared" si="4"/>
        <v>-</v>
      </c>
      <c r="H25" s="8" t="str">
        <f t="shared" si="5"/>
        <v>-</v>
      </c>
      <c r="I25" s="8" t="str">
        <f t="shared" si="6"/>
        <v>-</v>
      </c>
      <c r="J25" s="8" t="str">
        <f t="shared" si="7"/>
        <v>-</v>
      </c>
      <c r="K25" s="8" t="str">
        <f t="shared" si="8"/>
        <v>-</v>
      </c>
      <c r="L25" s="69"/>
      <c r="M25" s="102" t="s">
        <v>190</v>
      </c>
      <c r="N25" s="96" t="s">
        <v>97</v>
      </c>
      <c r="O25" s="96" t="s">
        <v>130</v>
      </c>
      <c r="P25" s="96">
        <v>3</v>
      </c>
      <c r="Q25" s="96">
        <v>6</v>
      </c>
      <c r="R25" s="96">
        <v>0</v>
      </c>
      <c r="S25" s="96">
        <v>3.253</v>
      </c>
      <c r="T25" s="98">
        <v>0.045116</v>
      </c>
      <c r="U25" s="98">
        <v>-1.374E-05</v>
      </c>
      <c r="V25" s="96">
        <v>42.077</v>
      </c>
      <c r="W25" s="96">
        <v>19691</v>
      </c>
      <c r="X25" s="274" t="b">
        <v>1</v>
      </c>
    </row>
    <row r="26" spans="1:24" ht="15.75">
      <c r="A26" s="275" t="s">
        <v>123</v>
      </c>
      <c r="B26" s="8" t="str">
        <f t="shared" si="0"/>
        <v>-</v>
      </c>
      <c r="C26" s="51"/>
      <c r="D26" s="8" t="str">
        <f t="shared" si="1"/>
        <v>-</v>
      </c>
      <c r="E26" s="8" t="str">
        <f t="shared" si="2"/>
        <v>-</v>
      </c>
      <c r="F26" s="8" t="str">
        <f t="shared" si="3"/>
        <v>-</v>
      </c>
      <c r="G26" s="8" t="str">
        <f t="shared" si="4"/>
        <v>-</v>
      </c>
      <c r="H26" s="8" t="str">
        <f t="shared" si="5"/>
        <v>-</v>
      </c>
      <c r="I26" s="8" t="str">
        <f t="shared" si="6"/>
        <v>-</v>
      </c>
      <c r="J26" s="8" t="str">
        <f t="shared" si="7"/>
        <v>-</v>
      </c>
      <c r="K26" s="8" t="str">
        <f t="shared" si="8"/>
        <v>-</v>
      </c>
      <c r="L26" s="69"/>
      <c r="M26" s="26"/>
      <c r="N26" s="99" t="s">
        <v>98</v>
      </c>
      <c r="O26" s="96" t="s">
        <v>132</v>
      </c>
      <c r="P26" s="96">
        <v>4</v>
      </c>
      <c r="Q26" s="96">
        <v>8</v>
      </c>
      <c r="R26" s="96">
        <v>0</v>
      </c>
      <c r="S26" s="97">
        <v>3.909</v>
      </c>
      <c r="T26" s="98">
        <v>0.062848</v>
      </c>
      <c r="U26" s="98">
        <v>-1.9617E-05</v>
      </c>
      <c r="V26" s="96">
        <v>56.102</v>
      </c>
      <c r="W26" s="96">
        <v>19496</v>
      </c>
      <c r="X26" s="274" t="b">
        <v>1</v>
      </c>
    </row>
    <row r="27" spans="1:24" ht="15.75">
      <c r="A27" s="275" t="s">
        <v>123</v>
      </c>
      <c r="B27" s="8" t="str">
        <f t="shared" si="0"/>
        <v>-</v>
      </c>
      <c r="C27" s="51"/>
      <c r="D27" s="8" t="str">
        <f t="shared" si="1"/>
        <v>-</v>
      </c>
      <c r="E27" s="8" t="str">
        <f t="shared" si="2"/>
        <v>-</v>
      </c>
      <c r="F27" s="8" t="str">
        <f t="shared" si="3"/>
        <v>-</v>
      </c>
      <c r="G27" s="8" t="str">
        <f t="shared" si="4"/>
        <v>-</v>
      </c>
      <c r="H27" s="8" t="str">
        <f t="shared" si="5"/>
        <v>-</v>
      </c>
      <c r="I27" s="8" t="str">
        <f t="shared" si="6"/>
        <v>-</v>
      </c>
      <c r="J27" s="8" t="str">
        <f t="shared" si="7"/>
        <v>-</v>
      </c>
      <c r="K27" s="8" t="str">
        <f t="shared" si="8"/>
        <v>-</v>
      </c>
      <c r="L27" s="69"/>
      <c r="M27" s="26"/>
      <c r="N27" s="99" t="s">
        <v>99</v>
      </c>
      <c r="O27" s="96" t="s">
        <v>133</v>
      </c>
      <c r="P27" s="96">
        <v>5</v>
      </c>
      <c r="Q27" s="96">
        <v>10</v>
      </c>
      <c r="R27" s="96">
        <v>0</v>
      </c>
      <c r="S27" s="97">
        <v>5.347</v>
      </c>
      <c r="T27" s="98">
        <v>0.07899</v>
      </c>
      <c r="U27" s="98">
        <v>-2.4733E-05</v>
      </c>
      <c r="V27" s="96">
        <v>70.128</v>
      </c>
      <c r="W27" s="96">
        <v>19363</v>
      </c>
      <c r="X27" s="274" t="b">
        <v>1</v>
      </c>
    </row>
    <row r="28" spans="1:24" ht="15.75">
      <c r="A28" s="275" t="s">
        <v>123</v>
      </c>
      <c r="B28" s="8" t="str">
        <f t="shared" si="0"/>
        <v>-</v>
      </c>
      <c r="C28" s="51"/>
      <c r="D28" s="8" t="str">
        <f t="shared" si="1"/>
        <v>-</v>
      </c>
      <c r="E28" s="8" t="str">
        <f t="shared" si="2"/>
        <v>-</v>
      </c>
      <c r="F28" s="8" t="str">
        <f t="shared" si="3"/>
        <v>-</v>
      </c>
      <c r="G28" s="8" t="str">
        <f t="shared" si="4"/>
        <v>-</v>
      </c>
      <c r="H28" s="8" t="str">
        <f t="shared" si="5"/>
        <v>-</v>
      </c>
      <c r="I28" s="8" t="str">
        <f t="shared" si="6"/>
        <v>-</v>
      </c>
      <c r="J28" s="8" t="str">
        <f t="shared" si="7"/>
        <v>-</v>
      </c>
      <c r="K28" s="8" t="str">
        <f t="shared" si="8"/>
        <v>-</v>
      </c>
      <c r="L28" s="69"/>
      <c r="M28" s="26"/>
      <c r="N28" s="96" t="s">
        <v>100</v>
      </c>
      <c r="O28" s="96" t="s">
        <v>134</v>
      </c>
      <c r="P28" s="96">
        <v>2</v>
      </c>
      <c r="Q28" s="96">
        <v>2</v>
      </c>
      <c r="R28" s="96">
        <v>0</v>
      </c>
      <c r="S28" s="97">
        <v>7.331</v>
      </c>
      <c r="T28" s="98">
        <v>0.012622</v>
      </c>
      <c r="U28" s="98">
        <v>-3.889E-06</v>
      </c>
      <c r="V28" s="96">
        <v>26.036</v>
      </c>
      <c r="W28" s="96">
        <v>20776</v>
      </c>
      <c r="X28" s="274" t="b">
        <v>1</v>
      </c>
    </row>
    <row r="29" spans="1:24" ht="15.75">
      <c r="A29" s="275" t="s">
        <v>123</v>
      </c>
      <c r="B29" s="8" t="str">
        <f t="shared" si="0"/>
        <v>-</v>
      </c>
      <c r="C29" s="51"/>
      <c r="D29" s="8" t="str">
        <f t="shared" si="1"/>
        <v>-</v>
      </c>
      <c r="E29" s="8" t="str">
        <f t="shared" si="2"/>
        <v>-</v>
      </c>
      <c r="F29" s="8" t="str">
        <f t="shared" si="3"/>
        <v>-</v>
      </c>
      <c r="G29" s="8" t="str">
        <f t="shared" si="4"/>
        <v>-</v>
      </c>
      <c r="H29" s="8" t="str">
        <f t="shared" si="5"/>
        <v>-</v>
      </c>
      <c r="I29" s="8" t="str">
        <f t="shared" si="6"/>
        <v>-</v>
      </c>
      <c r="J29" s="8" t="str">
        <f t="shared" si="7"/>
        <v>-</v>
      </c>
      <c r="K29" s="8" t="str">
        <f t="shared" si="8"/>
        <v>-</v>
      </c>
      <c r="L29" s="69"/>
      <c r="M29" s="26"/>
      <c r="N29" s="96" t="s">
        <v>101</v>
      </c>
      <c r="O29" s="96" t="s">
        <v>135</v>
      </c>
      <c r="P29" s="96">
        <v>6</v>
      </c>
      <c r="Q29" s="96">
        <v>6</v>
      </c>
      <c r="R29" s="96">
        <v>0</v>
      </c>
      <c r="S29" s="97">
        <v>-0.409</v>
      </c>
      <c r="T29" s="98">
        <v>0.077621</v>
      </c>
      <c r="U29" s="98">
        <v>-2.6429E-05</v>
      </c>
      <c r="V29" s="96">
        <v>78.107</v>
      </c>
      <c r="W29" s="96">
        <v>17480</v>
      </c>
      <c r="X29" s="274" t="b">
        <v>1</v>
      </c>
    </row>
    <row r="30" spans="1:24" ht="15.75">
      <c r="A30" s="275" t="s">
        <v>123</v>
      </c>
      <c r="B30" s="8" t="str">
        <f t="shared" si="0"/>
        <v>-</v>
      </c>
      <c r="C30" s="51"/>
      <c r="D30" s="8" t="str">
        <f t="shared" si="1"/>
        <v>-</v>
      </c>
      <c r="E30" s="8" t="str">
        <f t="shared" si="2"/>
        <v>-</v>
      </c>
      <c r="F30" s="8" t="str">
        <f t="shared" si="3"/>
        <v>-</v>
      </c>
      <c r="G30" s="8" t="str">
        <f t="shared" si="4"/>
        <v>-</v>
      </c>
      <c r="H30" s="8" t="str">
        <f t="shared" si="5"/>
        <v>-</v>
      </c>
      <c r="I30" s="8" t="str">
        <f t="shared" si="6"/>
        <v>-</v>
      </c>
      <c r="J30" s="8" t="str">
        <f t="shared" si="7"/>
        <v>-</v>
      </c>
      <c r="K30" s="8" t="str">
        <f t="shared" si="8"/>
        <v>-</v>
      </c>
      <c r="L30" s="69"/>
      <c r="M30" s="26"/>
      <c r="N30" s="96" t="s">
        <v>102</v>
      </c>
      <c r="O30" s="96" t="s">
        <v>136</v>
      </c>
      <c r="P30" s="96">
        <v>7</v>
      </c>
      <c r="Q30" s="96">
        <v>8</v>
      </c>
      <c r="R30" s="96">
        <v>0</v>
      </c>
      <c r="S30" s="97">
        <v>0.576</v>
      </c>
      <c r="T30" s="98">
        <v>0.093493</v>
      </c>
      <c r="U30" s="98">
        <v>-3.1227E-05</v>
      </c>
      <c r="V30" s="96">
        <v>92.132</v>
      </c>
      <c r="W30" s="96">
        <v>17620</v>
      </c>
      <c r="X30" s="274" t="b">
        <v>1</v>
      </c>
    </row>
    <row r="31" spans="1:24" ht="15.75">
      <c r="A31" s="275" t="s">
        <v>123</v>
      </c>
      <c r="B31" s="8" t="str">
        <f t="shared" si="0"/>
        <v>-</v>
      </c>
      <c r="C31" s="51"/>
      <c r="D31" s="8" t="str">
        <f t="shared" si="1"/>
        <v>-</v>
      </c>
      <c r="E31" s="8" t="str">
        <f t="shared" si="2"/>
        <v>-</v>
      </c>
      <c r="F31" s="8" t="str">
        <f t="shared" si="3"/>
        <v>-</v>
      </c>
      <c r="G31" s="8" t="str">
        <f t="shared" si="4"/>
        <v>-</v>
      </c>
      <c r="H31" s="8" t="str">
        <f t="shared" si="5"/>
        <v>-</v>
      </c>
      <c r="I31" s="8" t="str">
        <f t="shared" si="6"/>
        <v>-</v>
      </c>
      <c r="J31" s="8" t="str">
        <f t="shared" si="7"/>
        <v>-</v>
      </c>
      <c r="K31" s="8" t="str">
        <f t="shared" si="8"/>
        <v>-</v>
      </c>
      <c r="L31" s="69"/>
      <c r="M31" s="26"/>
      <c r="N31" s="96" t="s">
        <v>103</v>
      </c>
      <c r="O31" s="96" t="s">
        <v>137</v>
      </c>
      <c r="P31" s="96">
        <v>2</v>
      </c>
      <c r="Q31" s="96">
        <v>6</v>
      </c>
      <c r="R31" s="96">
        <v>1</v>
      </c>
      <c r="S31" s="97">
        <v>6.99</v>
      </c>
      <c r="T31" s="98">
        <v>0.039741</v>
      </c>
      <c r="U31" s="98">
        <v>-1.1926E-05</v>
      </c>
      <c r="V31" s="96">
        <v>46.067</v>
      </c>
      <c r="W31" s="96">
        <v>11929</v>
      </c>
      <c r="X31" s="274" t="b">
        <v>1</v>
      </c>
    </row>
    <row r="32" spans="1:24" ht="15.75">
      <c r="A32" s="276" t="s">
        <v>131</v>
      </c>
      <c r="B32" s="26"/>
      <c r="C32" s="55">
        <f>SUM(C18:C31)</f>
        <v>1</v>
      </c>
      <c r="D32" s="26"/>
      <c r="E32" s="56" t="s">
        <v>148</v>
      </c>
      <c r="F32" s="26"/>
      <c r="G32" s="26"/>
      <c r="H32" s="26"/>
      <c r="I32" s="26"/>
      <c r="J32" s="26"/>
      <c r="K32" s="26"/>
      <c r="L32" s="65"/>
      <c r="M32" s="26"/>
      <c r="N32" s="96" t="s">
        <v>104</v>
      </c>
      <c r="O32" s="96" t="s">
        <v>32</v>
      </c>
      <c r="P32" s="96">
        <v>0</v>
      </c>
      <c r="Q32" s="96">
        <v>0</v>
      </c>
      <c r="R32" s="96">
        <v>2</v>
      </c>
      <c r="S32" s="113">
        <v>7.16</v>
      </c>
      <c r="T32" s="98">
        <v>0.001</v>
      </c>
      <c r="U32" s="100">
        <v>-40000</v>
      </c>
      <c r="V32" s="96">
        <v>32</v>
      </c>
      <c r="W32" s="96">
        <v>0</v>
      </c>
      <c r="X32" s="274" t="b">
        <v>0</v>
      </c>
    </row>
    <row r="33" spans="1:24" ht="15.75">
      <c r="A33" s="261"/>
      <c r="B33" s="26"/>
      <c r="C33" s="26"/>
      <c r="D33" s="26"/>
      <c r="E33" s="26"/>
      <c r="F33" s="26"/>
      <c r="G33" s="26"/>
      <c r="H33" s="26"/>
      <c r="I33" s="26"/>
      <c r="J33" s="26"/>
      <c r="K33" s="26"/>
      <c r="L33" s="65"/>
      <c r="M33" s="26"/>
      <c r="N33" s="96" t="s">
        <v>105</v>
      </c>
      <c r="O33" s="96" t="s">
        <v>145</v>
      </c>
      <c r="P33" s="96">
        <v>0</v>
      </c>
      <c r="Q33" s="96">
        <v>2</v>
      </c>
      <c r="R33" s="96">
        <v>1</v>
      </c>
      <c r="S33" s="97">
        <v>7.3</v>
      </c>
      <c r="T33" s="98">
        <v>0.00246</v>
      </c>
      <c r="U33" s="101">
        <v>0</v>
      </c>
      <c r="V33" s="96">
        <v>18.016</v>
      </c>
      <c r="W33" s="96">
        <v>0</v>
      </c>
      <c r="X33" s="274" t="b">
        <v>0</v>
      </c>
    </row>
    <row r="34" spans="1:24" ht="15.75" customHeight="1">
      <c r="A34" s="277" t="s">
        <v>312</v>
      </c>
      <c r="B34" s="246"/>
      <c r="C34" s="26"/>
      <c r="D34" s="124">
        <f>COUNT(D18:D31)</f>
        <v>3</v>
      </c>
      <c r="E34" s="26"/>
      <c r="F34" s="26"/>
      <c r="G34" s="26"/>
      <c r="H34" s="26"/>
      <c r="I34" s="26"/>
      <c r="J34" s="26"/>
      <c r="K34" s="26"/>
      <c r="L34" s="65"/>
      <c r="M34" s="26"/>
      <c r="N34" s="96" t="s">
        <v>106</v>
      </c>
      <c r="O34" s="96" t="s">
        <v>146</v>
      </c>
      <c r="P34" s="96">
        <v>1</v>
      </c>
      <c r="Q34" s="96">
        <v>0</v>
      </c>
      <c r="R34" s="96">
        <v>2</v>
      </c>
      <c r="S34" s="97">
        <v>10.57</v>
      </c>
      <c r="T34" s="98">
        <v>0.0021</v>
      </c>
      <c r="U34" s="100">
        <v>-206000</v>
      </c>
      <c r="V34" s="96">
        <v>44.01</v>
      </c>
      <c r="W34" s="96">
        <v>0</v>
      </c>
      <c r="X34" s="274" t="b">
        <v>0</v>
      </c>
    </row>
    <row r="35" spans="1:24" ht="15.75">
      <c r="A35" s="261"/>
      <c r="B35" s="26"/>
      <c r="C35" s="26"/>
      <c r="D35" s="26"/>
      <c r="E35" s="26"/>
      <c r="F35" s="26"/>
      <c r="G35" s="26"/>
      <c r="H35" s="26"/>
      <c r="I35" s="26"/>
      <c r="J35" s="26"/>
      <c r="K35" s="26"/>
      <c r="L35" s="65"/>
      <c r="M35" s="26"/>
      <c r="N35" s="96" t="s">
        <v>107</v>
      </c>
      <c r="O35" s="96" t="s">
        <v>33</v>
      </c>
      <c r="P35" s="96">
        <v>0</v>
      </c>
      <c r="Q35" s="96">
        <v>0</v>
      </c>
      <c r="R35" s="96">
        <v>0</v>
      </c>
      <c r="S35" s="97">
        <v>6.83</v>
      </c>
      <c r="T35" s="98">
        <v>0.0009</v>
      </c>
      <c r="U35" s="100">
        <v>-12000</v>
      </c>
      <c r="V35" s="96">
        <v>28.016</v>
      </c>
      <c r="W35" s="96">
        <v>0</v>
      </c>
      <c r="X35" s="274" t="b">
        <v>0</v>
      </c>
    </row>
    <row r="36" spans="1:24" ht="12.75">
      <c r="A36" s="278" t="s">
        <v>196</v>
      </c>
      <c r="B36" s="26"/>
      <c r="C36" s="111">
        <v>0.3</v>
      </c>
      <c r="D36" s="26"/>
      <c r="E36" s="26"/>
      <c r="F36" s="26"/>
      <c r="G36" s="26"/>
      <c r="H36" s="26"/>
      <c r="I36" s="26"/>
      <c r="J36" s="26"/>
      <c r="K36" s="26"/>
      <c r="L36" s="65"/>
      <c r="M36" s="26"/>
      <c r="N36" s="7" t="s">
        <v>123</v>
      </c>
      <c r="O36" s="7" t="s">
        <v>123</v>
      </c>
      <c r="P36" s="7" t="s">
        <v>123</v>
      </c>
      <c r="Q36" s="7" t="s">
        <v>123</v>
      </c>
      <c r="R36" s="7" t="s">
        <v>123</v>
      </c>
      <c r="S36" s="7" t="s">
        <v>123</v>
      </c>
      <c r="T36" s="7" t="s">
        <v>123</v>
      </c>
      <c r="U36" s="7" t="s">
        <v>123</v>
      </c>
      <c r="V36" s="7" t="s">
        <v>123</v>
      </c>
      <c r="W36" s="7" t="s">
        <v>123</v>
      </c>
      <c r="X36" s="272"/>
    </row>
    <row r="37" spans="1:24" ht="14.25">
      <c r="A37" s="263" t="s">
        <v>141</v>
      </c>
      <c r="B37" s="26"/>
      <c r="C37" s="112">
        <v>90</v>
      </c>
      <c r="D37" s="57" t="s">
        <v>140</v>
      </c>
      <c r="E37" s="58" t="s">
        <v>143</v>
      </c>
      <c r="F37" s="26"/>
      <c r="G37" s="26"/>
      <c r="H37" s="26"/>
      <c r="I37" s="26"/>
      <c r="J37" s="26"/>
      <c r="K37" s="26"/>
      <c r="L37" s="65"/>
      <c r="M37" s="26"/>
      <c r="N37" s="8" t="s">
        <v>124</v>
      </c>
      <c r="O37" s="8"/>
      <c r="P37" s="8"/>
      <c r="Q37" s="8"/>
      <c r="R37" s="8"/>
      <c r="S37" s="8"/>
      <c r="T37" s="50"/>
      <c r="U37" s="50"/>
      <c r="V37" s="8"/>
      <c r="W37" s="8"/>
      <c r="X37" s="274"/>
    </row>
    <row r="38" spans="1:24" ht="14.25">
      <c r="A38" s="284" t="s">
        <v>142</v>
      </c>
      <c r="B38" s="235"/>
      <c r="C38" s="287">
        <v>1000</v>
      </c>
      <c r="D38" s="288" t="s">
        <v>140</v>
      </c>
      <c r="E38" s="235" t="s">
        <v>144</v>
      </c>
      <c r="F38" s="235"/>
      <c r="G38" s="235"/>
      <c r="H38" s="235"/>
      <c r="I38" s="235"/>
      <c r="J38" s="235"/>
      <c r="K38" s="235"/>
      <c r="L38" s="289"/>
      <c r="M38" s="26"/>
      <c r="N38" s="8"/>
      <c r="O38" s="8"/>
      <c r="P38" s="8"/>
      <c r="Q38" s="8"/>
      <c r="R38" s="8"/>
      <c r="S38" s="8"/>
      <c r="T38" s="50"/>
      <c r="U38" s="50"/>
      <c r="V38" s="8"/>
      <c r="W38" s="8"/>
      <c r="X38" s="274"/>
    </row>
    <row r="39" spans="1:24" ht="57" customHeight="1" thickBot="1">
      <c r="A39" s="704" t="s">
        <v>167</v>
      </c>
      <c r="B39" s="705"/>
      <c r="C39" s="705"/>
      <c r="D39" s="705"/>
      <c r="E39" s="279"/>
      <c r="F39" s="279"/>
      <c r="G39" s="279"/>
      <c r="H39" s="279"/>
      <c r="I39" s="279"/>
      <c r="J39" s="279"/>
      <c r="K39" s="279"/>
      <c r="L39" s="279"/>
      <c r="M39" s="280"/>
      <c r="N39" s="281"/>
      <c r="O39" s="281"/>
      <c r="P39" s="281"/>
      <c r="Q39" s="281"/>
      <c r="R39" s="281"/>
      <c r="S39" s="281"/>
      <c r="T39" s="282"/>
      <c r="U39" s="282"/>
      <c r="V39" s="281"/>
      <c r="W39" s="281"/>
      <c r="X39" s="283"/>
    </row>
    <row r="40" ht="13.5" thickTop="1">
      <c r="A40" s="2" t="s">
        <v>138</v>
      </c>
    </row>
    <row r="42" spans="3:9" ht="12.75">
      <c r="C42" s="61"/>
      <c r="D42" s="62"/>
      <c r="E42" s="62"/>
      <c r="F42" s="62"/>
      <c r="G42" s="63"/>
      <c r="H42" s="64"/>
      <c r="I42" s="64"/>
    </row>
    <row r="43" spans="1:3" ht="15.75">
      <c r="A43" s="36" t="s">
        <v>164</v>
      </c>
      <c r="B43" s="72">
        <v>3105.7964130370096</v>
      </c>
      <c r="C43" t="s">
        <v>163</v>
      </c>
    </row>
    <row r="45" spans="1:14" ht="15.75" customHeight="1">
      <c r="A45" t="s">
        <v>61</v>
      </c>
      <c r="B45" s="73">
        <v>347541.82464</v>
      </c>
      <c r="C45" t="s">
        <v>165</v>
      </c>
      <c r="K45" t="s">
        <v>18</v>
      </c>
      <c r="N45" s="46" t="s">
        <v>195</v>
      </c>
    </row>
    <row r="46" spans="1:15" ht="15" customHeight="1">
      <c r="A46" t="s">
        <v>169</v>
      </c>
      <c r="B46" s="5">
        <v>6</v>
      </c>
      <c r="C46" t="s">
        <v>166</v>
      </c>
      <c r="N46" s="46" t="s">
        <v>193</v>
      </c>
      <c r="O46" t="s">
        <v>194</v>
      </c>
    </row>
    <row r="47" spans="1:3" ht="14.25" customHeight="1">
      <c r="A47" s="1" t="s">
        <v>170</v>
      </c>
      <c r="B47" s="110">
        <v>4466.985714285715</v>
      </c>
      <c r="C47" s="1" t="s">
        <v>171</v>
      </c>
    </row>
    <row r="53" spans="12:13" ht="12.75">
      <c r="L53" s="5"/>
      <c r="M53" s="5"/>
    </row>
  </sheetData>
  <sheetProtection/>
  <mergeCells count="3">
    <mergeCell ref="A3:L3"/>
    <mergeCell ref="A39:D39"/>
    <mergeCell ref="P13:R13"/>
  </mergeCells>
  <conditionalFormatting sqref="C32">
    <cfRule type="cellIs" priority="1" dxfId="1" operator="equal" stopIfTrue="1">
      <formula>1</formula>
    </cfRule>
    <cfRule type="cellIs" priority="2" dxfId="0" operator="notEqual" stopIfTrue="1">
      <formula>1</formula>
    </cfRule>
  </conditionalFormatting>
  <dataValidations count="1">
    <dataValidation type="list" showInputMessage="1" showErrorMessage="1" sqref="A18:A31">
      <formula1>$N$18:$N$39</formula1>
    </dataValidation>
  </dataValidation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codeName="Sheet4"/>
  <dimension ref="B1:Y84"/>
  <sheetViews>
    <sheetView showGridLines="0" zoomScalePageLayoutView="0" workbookViewId="0" topLeftCell="A1">
      <selection activeCell="A1" sqref="A1"/>
    </sheetView>
  </sheetViews>
  <sheetFormatPr defaultColWidth="9.140625" defaultRowHeight="12.75"/>
  <cols>
    <col min="1" max="2" width="5.140625" style="0" customWidth="1"/>
    <col min="3" max="3" width="15.57421875" style="0" customWidth="1"/>
    <col min="4" max="4" width="10.140625" style="0" customWidth="1"/>
    <col min="5" max="5" width="16.00390625" style="0" customWidth="1"/>
    <col min="6" max="8" width="10.140625" style="0" customWidth="1"/>
    <col min="12" max="15" width="9.140625" style="26" customWidth="1"/>
    <col min="26" max="26" width="8.00390625" style="0" customWidth="1"/>
  </cols>
  <sheetData>
    <row r="1" ht="13.5" thickBot="1">
      <c r="Y1" s="127" t="s">
        <v>201</v>
      </c>
    </row>
    <row r="2" spans="2:25" ht="13.5" thickTop="1">
      <c r="B2" s="128"/>
      <c r="C2" s="129"/>
      <c r="D2" s="129"/>
      <c r="E2" s="129"/>
      <c r="F2" s="129"/>
      <c r="G2" s="129"/>
      <c r="H2" s="129"/>
      <c r="I2" s="129"/>
      <c r="J2" s="129"/>
      <c r="K2" s="129"/>
      <c r="L2" s="129"/>
      <c r="M2" s="129"/>
      <c r="N2" s="129"/>
      <c r="O2" s="129"/>
      <c r="P2" s="129"/>
      <c r="Q2" s="129"/>
      <c r="R2" s="129"/>
      <c r="S2" s="129"/>
      <c r="T2" s="129"/>
      <c r="U2" s="129"/>
      <c r="V2" s="129"/>
      <c r="W2" s="129"/>
      <c r="X2" s="129"/>
      <c r="Y2" s="130"/>
    </row>
    <row r="3" spans="2:25" ht="12.75">
      <c r="B3" s="131"/>
      <c r="C3" s="132" t="s">
        <v>202</v>
      </c>
      <c r="D3" s="133"/>
      <c r="E3" s="133"/>
      <c r="F3" s="133"/>
      <c r="G3" s="133"/>
      <c r="H3" s="133"/>
      <c r="I3" s="133"/>
      <c r="J3" s="26"/>
      <c r="K3" s="26"/>
      <c r="P3" s="26"/>
      <c r="Q3" s="26"/>
      <c r="R3" s="26"/>
      <c r="S3" s="26"/>
      <c r="T3" s="26"/>
      <c r="U3" s="26"/>
      <c r="V3" s="26"/>
      <c r="W3" s="26"/>
      <c r="X3" s="26"/>
      <c r="Y3" s="134"/>
    </row>
    <row r="4" spans="2:25" ht="13.5" thickBot="1">
      <c r="B4" s="131"/>
      <c r="C4" s="132"/>
      <c r="D4" s="133"/>
      <c r="E4" s="133"/>
      <c r="F4" s="133"/>
      <c r="G4" s="133"/>
      <c r="H4" s="133"/>
      <c r="I4" s="133"/>
      <c r="J4" s="26"/>
      <c r="K4" s="26"/>
      <c r="M4"/>
      <c r="N4"/>
      <c r="P4" s="26"/>
      <c r="Q4" s="26"/>
      <c r="R4" s="26"/>
      <c r="S4" s="26"/>
      <c r="T4" s="26"/>
      <c r="U4" s="26"/>
      <c r="V4" s="26"/>
      <c r="W4" s="26"/>
      <c r="X4" s="26"/>
      <c r="Y4" s="134"/>
    </row>
    <row r="5" spans="2:25" ht="12.75">
      <c r="B5" s="135"/>
      <c r="C5" s="136" t="s">
        <v>203</v>
      </c>
      <c r="D5" s="133"/>
      <c r="E5" s="133"/>
      <c r="F5" s="26"/>
      <c r="G5" s="133"/>
      <c r="H5" s="133"/>
      <c r="I5" s="133"/>
      <c r="J5" s="133"/>
      <c r="K5" s="133"/>
      <c r="P5" s="26"/>
      <c r="Q5" s="26"/>
      <c r="R5" s="26"/>
      <c r="S5" s="26"/>
      <c r="T5" s="26"/>
      <c r="U5" s="26"/>
      <c r="V5" s="26"/>
      <c r="W5" s="26"/>
      <c r="X5" s="26"/>
      <c r="Y5" s="134"/>
    </row>
    <row r="6" spans="2:25" ht="13.5" thickBot="1">
      <c r="B6" s="135"/>
      <c r="C6" s="137" t="s">
        <v>204</v>
      </c>
      <c r="D6" s="133"/>
      <c r="E6" s="133"/>
      <c r="F6" s="133"/>
      <c r="G6" s="133"/>
      <c r="H6" s="133"/>
      <c r="I6" s="133"/>
      <c r="J6" s="133"/>
      <c r="K6" s="133"/>
      <c r="P6" s="26"/>
      <c r="Q6" s="26"/>
      <c r="R6" s="26"/>
      <c r="S6" s="26"/>
      <c r="T6" s="26"/>
      <c r="U6" s="26"/>
      <c r="V6" s="26"/>
      <c r="W6" s="26"/>
      <c r="X6" s="26"/>
      <c r="Y6" s="134"/>
    </row>
    <row r="7" spans="2:25" ht="12.75">
      <c r="B7" s="135"/>
      <c r="C7" s="138" t="s">
        <v>205</v>
      </c>
      <c r="D7" s="133"/>
      <c r="E7" s="133"/>
      <c r="F7" s="139" t="s">
        <v>206</v>
      </c>
      <c r="G7" s="140" t="s">
        <v>191</v>
      </c>
      <c r="H7" s="141" t="s">
        <v>207</v>
      </c>
      <c r="I7" s="142" t="s">
        <v>208</v>
      </c>
      <c r="J7" s="141" t="s">
        <v>60</v>
      </c>
      <c r="K7" s="142" t="s">
        <v>208</v>
      </c>
      <c r="O7"/>
      <c r="P7" s="26"/>
      <c r="Q7" s="26"/>
      <c r="R7" s="26"/>
      <c r="S7" s="26"/>
      <c r="T7" s="26"/>
      <c r="U7" s="26"/>
      <c r="V7" s="26"/>
      <c r="W7" s="26"/>
      <c r="X7" s="26"/>
      <c r="Y7" s="143"/>
    </row>
    <row r="8" spans="2:25" ht="15" customHeight="1">
      <c r="B8" s="135"/>
      <c r="C8" s="137" t="s">
        <v>181</v>
      </c>
      <c r="D8" s="133"/>
      <c r="E8" s="133"/>
      <c r="F8" s="144"/>
      <c r="G8" s="145" t="s">
        <v>209</v>
      </c>
      <c r="H8" s="146" t="s">
        <v>210</v>
      </c>
      <c r="I8" s="147"/>
      <c r="J8" s="146" t="s">
        <v>210</v>
      </c>
      <c r="K8" s="147"/>
      <c r="P8" s="26"/>
      <c r="Q8" s="26"/>
      <c r="W8" s="26"/>
      <c r="X8" s="26"/>
      <c r="Y8" s="148"/>
    </row>
    <row r="9" spans="2:25" ht="13.5" thickBot="1">
      <c r="B9" s="135"/>
      <c r="C9" s="149" t="s">
        <v>209</v>
      </c>
      <c r="D9" s="133"/>
      <c r="E9" s="133"/>
      <c r="F9" s="150"/>
      <c r="G9" s="149" t="s">
        <v>211</v>
      </c>
      <c r="H9" s="151"/>
      <c r="I9" s="152"/>
      <c r="J9" s="153" t="s">
        <v>212</v>
      </c>
      <c r="K9" s="154"/>
      <c r="M9" s="29" t="s">
        <v>213</v>
      </c>
      <c r="R9" s="26"/>
      <c r="S9" s="26"/>
      <c r="T9" s="26"/>
      <c r="U9" s="26"/>
      <c r="V9" s="26"/>
      <c r="W9" s="26"/>
      <c r="X9" s="26"/>
      <c r="Y9" s="155"/>
    </row>
    <row r="10" spans="2:25" ht="12.75">
      <c r="B10" s="135"/>
      <c r="C10" s="156">
        <f>GasMolarMass(F10)</f>
        <v>16.043</v>
      </c>
      <c r="D10" s="133"/>
      <c r="E10" s="157" t="s">
        <v>93</v>
      </c>
      <c r="F10" s="158" t="s">
        <v>214</v>
      </c>
      <c r="G10" s="159">
        <f>1*G32+2*G22</f>
        <v>16.043</v>
      </c>
      <c r="H10" s="160">
        <v>55.49425836813563</v>
      </c>
      <c r="I10" s="161" t="s">
        <v>215</v>
      </c>
      <c r="J10" s="162">
        <v>50.009</v>
      </c>
      <c r="K10" s="163" t="s">
        <v>215</v>
      </c>
      <c r="M10" s="26" t="s">
        <v>216</v>
      </c>
      <c r="P10" s="26"/>
      <c r="Q10" s="26"/>
      <c r="R10" s="26"/>
      <c r="S10" s="26"/>
      <c r="T10" s="26"/>
      <c r="U10" s="26"/>
      <c r="V10" s="26"/>
      <c r="W10" s="24"/>
      <c r="X10" s="26"/>
      <c r="Y10" s="155"/>
    </row>
    <row r="11" spans="2:25" ht="12.75">
      <c r="B11" s="135"/>
      <c r="C11" s="164">
        <f aca="true" t="shared" si="0" ref="C11:C31">GasMolarMass(F11)</f>
        <v>30.068</v>
      </c>
      <c r="D11" s="133"/>
      <c r="E11" s="165" t="s">
        <v>94</v>
      </c>
      <c r="F11" s="166" t="s">
        <v>217</v>
      </c>
      <c r="G11" s="167">
        <f>2*G32+3*G22</f>
        <v>30.07</v>
      </c>
      <c r="H11" s="160">
        <v>52.184049221764</v>
      </c>
      <c r="I11" s="168" t="s">
        <v>215</v>
      </c>
      <c r="J11" s="162">
        <v>47.794</v>
      </c>
      <c r="K11" s="147" t="s">
        <v>215</v>
      </c>
      <c r="T11" s="26"/>
      <c r="U11" s="26"/>
      <c r="V11" s="26"/>
      <c r="W11" s="24"/>
      <c r="X11" s="26"/>
      <c r="Y11" s="155"/>
    </row>
    <row r="12" spans="2:25" ht="12.75">
      <c r="B12" s="135"/>
      <c r="C12" s="164">
        <f t="shared" si="0"/>
        <v>44.094</v>
      </c>
      <c r="D12" s="133"/>
      <c r="E12" s="165" t="s">
        <v>95</v>
      </c>
      <c r="F12" s="166" t="s">
        <v>218</v>
      </c>
      <c r="G12" s="167">
        <f>3*G32+4*G22</f>
        <v>44.097</v>
      </c>
      <c r="H12" s="160">
        <v>50.34847276273416</v>
      </c>
      <c r="I12" s="168" t="s">
        <v>215</v>
      </c>
      <c r="J12" s="162">
        <v>46.357</v>
      </c>
      <c r="K12" s="147" t="s">
        <v>215</v>
      </c>
      <c r="M12" s="169" t="s">
        <v>219</v>
      </c>
      <c r="T12" s="26"/>
      <c r="U12" s="26"/>
      <c r="V12" s="26"/>
      <c r="W12" s="24"/>
      <c r="X12" s="26"/>
      <c r="Y12" s="155"/>
    </row>
    <row r="13" spans="2:25" ht="15.75">
      <c r="B13" s="135"/>
      <c r="C13" s="170">
        <f t="shared" si="0"/>
        <v>58.12</v>
      </c>
      <c r="D13" s="133"/>
      <c r="E13" s="165" t="s">
        <v>220</v>
      </c>
      <c r="F13" s="166" t="s">
        <v>221</v>
      </c>
      <c r="G13" s="167">
        <f>4*G32+5*G22</f>
        <v>58.123999999999995</v>
      </c>
      <c r="H13" s="160">
        <v>49.537271851342055</v>
      </c>
      <c r="I13" s="168" t="s">
        <v>215</v>
      </c>
      <c r="J13" s="162">
        <v>45.752</v>
      </c>
      <c r="K13" s="147" t="s">
        <v>215</v>
      </c>
      <c r="M13" s="171" t="s">
        <v>222</v>
      </c>
      <c r="N13" s="172" t="s">
        <v>223</v>
      </c>
      <c r="P13" s="26"/>
      <c r="Q13" s="26"/>
      <c r="R13" s="26"/>
      <c r="S13" s="26"/>
      <c r="T13" s="26"/>
      <c r="U13" s="26"/>
      <c r="V13" s="26"/>
      <c r="W13" s="24"/>
      <c r="X13" s="26"/>
      <c r="Y13" s="155"/>
    </row>
    <row r="14" spans="2:25" ht="12.75">
      <c r="B14" s="135"/>
      <c r="C14" s="164">
        <f t="shared" si="0"/>
        <v>72.146</v>
      </c>
      <c r="D14" s="133"/>
      <c r="E14" s="165" t="s">
        <v>224</v>
      </c>
      <c r="F14" s="166" t="s">
        <v>225</v>
      </c>
      <c r="G14" s="167">
        <f>5*G32+6*G22</f>
        <v>72.151</v>
      </c>
      <c r="H14" s="160">
        <v>49.01624652787403</v>
      </c>
      <c r="I14" s="168" t="s">
        <v>226</v>
      </c>
      <c r="J14" s="162">
        <v>45.357</v>
      </c>
      <c r="K14" s="147" t="s">
        <v>215</v>
      </c>
      <c r="M14" s="26" t="s">
        <v>227</v>
      </c>
      <c r="S14" s="26"/>
      <c r="T14" s="26"/>
      <c r="U14" s="26"/>
      <c r="V14" s="26"/>
      <c r="W14" s="24"/>
      <c r="X14" s="26"/>
      <c r="Y14" s="155"/>
    </row>
    <row r="15" spans="2:25" ht="12.75">
      <c r="B15" s="135"/>
      <c r="C15" s="164">
        <f t="shared" si="0"/>
        <v>86.172</v>
      </c>
      <c r="D15" s="133"/>
      <c r="E15" s="165" t="s">
        <v>228</v>
      </c>
      <c r="F15" s="166" t="s">
        <v>229</v>
      </c>
      <c r="G15" s="167">
        <f>6*G32+7*G22</f>
        <v>86.178</v>
      </c>
      <c r="H15" s="160">
        <v>48.32624685512696</v>
      </c>
      <c r="I15" s="168" t="s">
        <v>226</v>
      </c>
      <c r="J15" s="162">
        <v>44.752</v>
      </c>
      <c r="K15" s="147" t="s">
        <v>215</v>
      </c>
      <c r="M15" s="173" t="s">
        <v>230</v>
      </c>
      <c r="V15" s="26"/>
      <c r="W15" s="24"/>
      <c r="X15" s="26"/>
      <c r="Y15" s="155"/>
    </row>
    <row r="16" spans="2:25" ht="12.75">
      <c r="B16" s="135"/>
      <c r="C16" s="164">
        <f t="shared" si="0"/>
        <v>100.198</v>
      </c>
      <c r="D16" s="133"/>
      <c r="E16" s="165" t="s">
        <v>231</v>
      </c>
      <c r="F16" s="166" t="s">
        <v>232</v>
      </c>
      <c r="G16" s="167">
        <f>7*G32+8*G22</f>
        <v>100.205</v>
      </c>
      <c r="H16" s="160">
        <v>48.079044172538374</v>
      </c>
      <c r="I16" s="168" t="s">
        <v>226</v>
      </c>
      <c r="J16" s="162">
        <v>44.566</v>
      </c>
      <c r="K16" s="147" t="s">
        <v>215</v>
      </c>
      <c r="V16" s="26"/>
      <c r="W16" s="24"/>
      <c r="X16" s="26"/>
      <c r="Y16" s="155"/>
    </row>
    <row r="17" spans="2:25" ht="12.75">
      <c r="B17" s="135"/>
      <c r="C17" s="164">
        <f t="shared" si="0"/>
        <v>114.224</v>
      </c>
      <c r="D17" s="133"/>
      <c r="E17" s="165" t="s">
        <v>233</v>
      </c>
      <c r="F17" s="166" t="s">
        <v>234</v>
      </c>
      <c r="G17" s="167">
        <f>8*G32+9*G22</f>
        <v>114.232</v>
      </c>
      <c r="H17" s="160">
        <v>47.89387211093991</v>
      </c>
      <c r="I17" s="168" t="s">
        <v>226</v>
      </c>
      <c r="J17" s="162">
        <v>44.427</v>
      </c>
      <c r="K17" s="147" t="s">
        <v>215</v>
      </c>
      <c r="M17" t="s">
        <v>235</v>
      </c>
      <c r="R17" s="26"/>
      <c r="S17" s="26"/>
      <c r="T17" s="26"/>
      <c r="U17" s="26"/>
      <c r="V17" s="26"/>
      <c r="W17" s="24"/>
      <c r="X17" s="26"/>
      <c r="Y17" s="155"/>
    </row>
    <row r="18" spans="2:25" ht="12.75">
      <c r="B18" s="135"/>
      <c r="C18" s="170">
        <f>GasMolarMass(F18)</f>
        <v>128.25</v>
      </c>
      <c r="D18" s="133"/>
      <c r="E18" s="165" t="s">
        <v>236</v>
      </c>
      <c r="F18" s="166" t="s">
        <v>237</v>
      </c>
      <c r="G18" s="167">
        <f>9*G32+10*G22</f>
        <v>128.259</v>
      </c>
      <c r="H18" s="160">
        <v>47.7417992202729</v>
      </c>
      <c r="I18" s="168" t="s">
        <v>226</v>
      </c>
      <c r="J18" s="162">
        <v>44.311</v>
      </c>
      <c r="K18" s="147" t="s">
        <v>215</v>
      </c>
      <c r="R18" s="26"/>
      <c r="S18" s="26"/>
      <c r="T18" s="26"/>
      <c r="U18" s="26"/>
      <c r="V18" s="26"/>
      <c r="W18" s="24"/>
      <c r="X18" s="26"/>
      <c r="Y18" s="155"/>
    </row>
    <row r="19" spans="2:25" ht="16.5" customHeight="1">
      <c r="B19" s="135"/>
      <c r="C19" s="164">
        <f t="shared" si="0"/>
        <v>142.28</v>
      </c>
      <c r="D19" s="133"/>
      <c r="E19" s="165" t="s">
        <v>238</v>
      </c>
      <c r="F19" s="166" t="s">
        <v>239</v>
      </c>
      <c r="G19" s="168">
        <f>10*G32+11*G22</f>
        <v>142.286</v>
      </c>
      <c r="H19" s="160">
        <v>47.641743041889235</v>
      </c>
      <c r="I19" s="168" t="s">
        <v>226</v>
      </c>
      <c r="J19" s="162">
        <v>44.24</v>
      </c>
      <c r="K19" s="147" t="s">
        <v>215</v>
      </c>
      <c r="M19" s="26" t="s">
        <v>240</v>
      </c>
      <c r="P19" s="26"/>
      <c r="Q19" s="26"/>
      <c r="R19" s="26"/>
      <c r="S19" s="26"/>
      <c r="T19" s="26"/>
      <c r="U19" s="26"/>
      <c r="V19" s="26"/>
      <c r="W19" s="24"/>
      <c r="X19" s="26"/>
      <c r="Y19" s="155"/>
    </row>
    <row r="20" spans="2:25" ht="18.75" customHeight="1">
      <c r="B20" s="135"/>
      <c r="C20" s="174">
        <f>GasMolarMass(F20)</f>
        <v>156.3</v>
      </c>
      <c r="D20" s="133"/>
      <c r="E20" s="165" t="s">
        <v>241</v>
      </c>
      <c r="F20" s="166" t="s">
        <v>242</v>
      </c>
      <c r="G20" s="168">
        <f>11*G32+12*G22</f>
        <v>156.313</v>
      </c>
      <c r="H20" s="160">
        <v>47.57211900191939</v>
      </c>
      <c r="I20" s="168" t="s">
        <v>226</v>
      </c>
      <c r="J20" s="162">
        <v>44.194</v>
      </c>
      <c r="K20" s="175" t="s">
        <v>215</v>
      </c>
      <c r="M20" s="26" t="s">
        <v>243</v>
      </c>
      <c r="N20"/>
      <c r="O20"/>
      <c r="P20" s="26"/>
      <c r="Q20" s="26"/>
      <c r="R20" s="26"/>
      <c r="S20" s="26"/>
      <c r="T20" s="26"/>
      <c r="U20" s="26"/>
      <c r="V20" s="26"/>
      <c r="W20" s="24"/>
      <c r="X20" s="26"/>
      <c r="Y20" s="155"/>
    </row>
    <row r="21" spans="2:25" ht="12.75">
      <c r="B21" s="135"/>
      <c r="C21" s="164">
        <f t="shared" si="0"/>
        <v>170.33</v>
      </c>
      <c r="D21" s="133"/>
      <c r="E21" s="176" t="s">
        <v>244</v>
      </c>
      <c r="F21" s="166" t="s">
        <v>245</v>
      </c>
      <c r="G21" s="168">
        <f>12*G32+13*G22</f>
        <v>170.34</v>
      </c>
      <c r="H21" s="160">
        <v>47.50518704867023</v>
      </c>
      <c r="I21" s="168" t="s">
        <v>226</v>
      </c>
      <c r="J21" s="162">
        <v>44.147</v>
      </c>
      <c r="K21" s="147" t="s">
        <v>215</v>
      </c>
      <c r="P21" s="26"/>
      <c r="Q21" s="26"/>
      <c r="R21" s="26"/>
      <c r="S21" s="26"/>
      <c r="T21" s="26"/>
      <c r="U21" s="26"/>
      <c r="V21" s="26"/>
      <c r="W21" s="24"/>
      <c r="X21" s="26"/>
      <c r="Y21" s="155"/>
    </row>
    <row r="22" spans="2:25" ht="12.75">
      <c r="B22" s="135"/>
      <c r="C22" s="164">
        <f t="shared" si="0"/>
        <v>2.016</v>
      </c>
      <c r="D22" s="133"/>
      <c r="E22" s="177" t="s">
        <v>246</v>
      </c>
      <c r="F22" s="166" t="s">
        <v>247</v>
      </c>
      <c r="G22" s="178">
        <f>1.008*2</f>
        <v>2.016</v>
      </c>
      <c r="H22" s="179">
        <v>141.8</v>
      </c>
      <c r="I22" s="167" t="s">
        <v>215</v>
      </c>
      <c r="J22" s="179">
        <v>120.971</v>
      </c>
      <c r="K22" s="147" t="s">
        <v>215</v>
      </c>
      <c r="P22" s="26"/>
      <c r="Q22" s="26"/>
      <c r="R22" s="26"/>
      <c r="S22" s="26"/>
      <c r="T22" s="26"/>
      <c r="U22" s="26"/>
      <c r="V22" s="26"/>
      <c r="W22" s="24"/>
      <c r="X22" s="26"/>
      <c r="Y22" s="155"/>
    </row>
    <row r="23" spans="2:25" ht="12.75">
      <c r="B23" s="135"/>
      <c r="C23" s="164">
        <f t="shared" si="0"/>
        <v>28.01</v>
      </c>
      <c r="D23" s="133"/>
      <c r="E23" s="177" t="s">
        <v>248</v>
      </c>
      <c r="F23" s="166" t="s">
        <v>249</v>
      </c>
      <c r="G23" s="168">
        <f>1*G32+0.5*G31</f>
        <v>28.0105</v>
      </c>
      <c r="H23" s="180">
        <f>J23</f>
        <v>10.112</v>
      </c>
      <c r="I23" s="167" t="s">
        <v>215</v>
      </c>
      <c r="J23" s="181">
        <v>10.112</v>
      </c>
      <c r="K23" s="147" t="s">
        <v>215</v>
      </c>
      <c r="P23" s="26"/>
      <c r="Q23" s="26"/>
      <c r="R23" s="26"/>
      <c r="S23" s="26"/>
      <c r="T23" s="26"/>
      <c r="U23" s="26"/>
      <c r="V23" s="26"/>
      <c r="W23" s="24"/>
      <c r="X23" s="26"/>
      <c r="Y23" s="155"/>
    </row>
    <row r="24" spans="2:25" ht="15.75" customHeight="1">
      <c r="B24" s="135"/>
      <c r="C24" s="164">
        <f t="shared" si="0"/>
        <v>44.01</v>
      </c>
      <c r="D24" s="133"/>
      <c r="E24" s="177" t="s">
        <v>250</v>
      </c>
      <c r="F24" s="166" t="s">
        <v>198</v>
      </c>
      <c r="G24" s="182">
        <f>1*G32+1*G31</f>
        <v>44.01</v>
      </c>
      <c r="H24" s="183">
        <v>0</v>
      </c>
      <c r="I24" s="182"/>
      <c r="J24" s="179">
        <v>0</v>
      </c>
      <c r="K24" s="184"/>
      <c r="P24" s="26"/>
      <c r="Q24" s="26"/>
      <c r="R24" s="26"/>
      <c r="S24" s="26"/>
      <c r="T24" s="26"/>
      <c r="U24" s="26"/>
      <c r="V24" s="26"/>
      <c r="W24" s="24"/>
      <c r="X24" s="26"/>
      <c r="Y24" s="155"/>
    </row>
    <row r="25" spans="2:25" ht="15.75" customHeight="1">
      <c r="B25" s="135"/>
      <c r="C25" s="164">
        <f>GasMolarMass(F25)</f>
        <v>32.065</v>
      </c>
      <c r="D25" s="133"/>
      <c r="E25" s="177" t="s">
        <v>251</v>
      </c>
      <c r="F25" s="166" t="s">
        <v>252</v>
      </c>
      <c r="G25" s="185">
        <v>32.065</v>
      </c>
      <c r="H25" s="180">
        <f>J25</f>
        <v>9.163</v>
      </c>
      <c r="I25" s="186"/>
      <c r="J25" s="180">
        <v>9.163</v>
      </c>
      <c r="K25" s="147" t="s">
        <v>215</v>
      </c>
      <c r="P25" s="26"/>
      <c r="Q25" s="26"/>
      <c r="R25" s="26"/>
      <c r="S25" s="26"/>
      <c r="T25" s="26"/>
      <c r="U25" s="26"/>
      <c r="V25" s="26"/>
      <c r="W25" s="24"/>
      <c r="X25" s="26"/>
      <c r="Y25" s="155"/>
    </row>
    <row r="26" spans="2:25" ht="15.75" customHeight="1">
      <c r="B26" s="135"/>
      <c r="C26" s="164">
        <f t="shared" si="0"/>
        <v>34.081</v>
      </c>
      <c r="D26" s="133"/>
      <c r="E26" s="177" t="s">
        <v>253</v>
      </c>
      <c r="F26" s="166" t="s">
        <v>254</v>
      </c>
      <c r="G26" s="187">
        <f>1*G25+1*G22</f>
        <v>34.080999999999996</v>
      </c>
      <c r="H26" s="188">
        <f>E83</f>
        <v>19.327484522167772</v>
      </c>
      <c r="I26" s="182" t="s">
        <v>255</v>
      </c>
      <c r="J26" s="188">
        <f>E59</f>
        <v>18.036442592646925</v>
      </c>
      <c r="K26" s="182" t="s">
        <v>255</v>
      </c>
      <c r="P26" s="26"/>
      <c r="Q26" s="26"/>
      <c r="R26" s="26"/>
      <c r="S26" s="26"/>
      <c r="T26" s="26"/>
      <c r="U26" s="26"/>
      <c r="V26" s="26"/>
      <c r="W26" s="24"/>
      <c r="X26" s="26"/>
      <c r="Y26" s="155"/>
    </row>
    <row r="27" spans="2:25" ht="15.75" customHeight="1">
      <c r="B27" s="135"/>
      <c r="C27" s="164">
        <f t="shared" si="0"/>
        <v>64.064</v>
      </c>
      <c r="D27" s="133"/>
      <c r="E27" s="177" t="s">
        <v>256</v>
      </c>
      <c r="F27" s="166" t="s">
        <v>257</v>
      </c>
      <c r="G27" s="187">
        <f>1*G25+1*G31</f>
        <v>64.064</v>
      </c>
      <c r="H27" s="183">
        <v>0</v>
      </c>
      <c r="I27" s="182"/>
      <c r="J27" s="189">
        <v>0</v>
      </c>
      <c r="K27" s="186"/>
      <c r="P27" s="26"/>
      <c r="Q27" s="26"/>
      <c r="R27" s="26"/>
      <c r="S27" s="26"/>
      <c r="T27" s="26"/>
      <c r="U27" s="26"/>
      <c r="V27" s="26"/>
      <c r="W27" s="24"/>
      <c r="X27" s="26"/>
      <c r="Y27" s="155"/>
    </row>
    <row r="28" spans="2:25" ht="15.75" customHeight="1">
      <c r="B28" s="135"/>
      <c r="C28" s="164">
        <f t="shared" si="0"/>
        <v>18.016</v>
      </c>
      <c r="D28" s="133"/>
      <c r="E28" s="177" t="s">
        <v>105</v>
      </c>
      <c r="F28" s="166" t="s">
        <v>258</v>
      </c>
      <c r="G28" s="187">
        <f>1*G22+0.5*G31</f>
        <v>18.0155</v>
      </c>
      <c r="H28" s="183">
        <v>0</v>
      </c>
      <c r="I28" s="182"/>
      <c r="J28" s="189">
        <v>0</v>
      </c>
      <c r="K28" s="186"/>
      <c r="P28" s="26"/>
      <c r="Q28" s="26"/>
      <c r="R28" s="26"/>
      <c r="S28" s="26"/>
      <c r="T28" s="26"/>
      <c r="U28" s="26"/>
      <c r="V28" s="26"/>
      <c r="W28" s="24"/>
      <c r="X28" s="26"/>
      <c r="Y28" s="155"/>
    </row>
    <row r="29" spans="2:25" ht="15.75" customHeight="1">
      <c r="B29" s="135"/>
      <c r="C29" s="164">
        <f t="shared" si="0"/>
        <v>28.016</v>
      </c>
      <c r="D29" s="133"/>
      <c r="E29" s="177" t="s">
        <v>259</v>
      </c>
      <c r="F29" s="166" t="s">
        <v>260</v>
      </c>
      <c r="G29" s="190">
        <f>14.0067*2</f>
        <v>28.0134</v>
      </c>
      <c r="H29" s="183">
        <v>0</v>
      </c>
      <c r="I29" s="191"/>
      <c r="J29" s="189">
        <v>0</v>
      </c>
      <c r="K29" s="168"/>
      <c r="P29" s="26"/>
      <c r="Q29" s="26"/>
      <c r="R29" s="26"/>
      <c r="S29" s="26"/>
      <c r="T29" s="26"/>
      <c r="U29" s="26"/>
      <c r="V29" s="26"/>
      <c r="W29" s="24"/>
      <c r="X29" s="26"/>
      <c r="Y29" s="155"/>
    </row>
    <row r="30" spans="2:25" ht="15.75" customHeight="1">
      <c r="B30" s="135"/>
      <c r="C30" s="164">
        <f t="shared" si="0"/>
        <v>39.948</v>
      </c>
      <c r="D30" s="133"/>
      <c r="E30" s="177" t="s">
        <v>261</v>
      </c>
      <c r="F30" s="166" t="s">
        <v>262</v>
      </c>
      <c r="G30" s="185">
        <v>39.948</v>
      </c>
      <c r="H30" s="183">
        <v>0</v>
      </c>
      <c r="I30" s="186"/>
      <c r="J30" s="189">
        <v>0</v>
      </c>
      <c r="K30" s="186"/>
      <c r="P30" s="26"/>
      <c r="Q30" s="26"/>
      <c r="R30" s="26"/>
      <c r="S30" s="26"/>
      <c r="T30" s="26"/>
      <c r="U30" s="26"/>
      <c r="V30" s="26"/>
      <c r="W30" s="24"/>
      <c r="X30" s="26"/>
      <c r="Y30" s="155"/>
    </row>
    <row r="31" spans="2:25" ht="15.75" customHeight="1">
      <c r="B31" s="135"/>
      <c r="C31" s="164">
        <f t="shared" si="0"/>
        <v>31.999</v>
      </c>
      <c r="D31" s="133"/>
      <c r="E31" s="177" t="s">
        <v>104</v>
      </c>
      <c r="F31" s="166" t="s">
        <v>263</v>
      </c>
      <c r="G31" s="192">
        <v>31.999</v>
      </c>
      <c r="H31" s="183">
        <v>0</v>
      </c>
      <c r="I31" s="182"/>
      <c r="J31" s="189">
        <v>0</v>
      </c>
      <c r="K31" s="186"/>
      <c r="P31" s="26"/>
      <c r="Q31" s="26"/>
      <c r="R31" s="26"/>
      <c r="S31" s="26"/>
      <c r="T31" s="26"/>
      <c r="U31" s="26"/>
      <c r="V31" s="26"/>
      <c r="W31" s="24"/>
      <c r="X31" s="26"/>
      <c r="Y31" s="155"/>
    </row>
    <row r="32" spans="2:25" ht="15.75" customHeight="1" thickBot="1">
      <c r="B32" s="135"/>
      <c r="C32" s="193">
        <f>GasMolarMass(F32)</f>
        <v>12.01</v>
      </c>
      <c r="D32" s="133"/>
      <c r="E32" s="194" t="s">
        <v>264</v>
      </c>
      <c r="F32" s="195" t="s">
        <v>112</v>
      </c>
      <c r="G32" s="196">
        <v>12.011</v>
      </c>
      <c r="H32" s="180">
        <f>J32</f>
        <v>32.808</v>
      </c>
      <c r="I32" s="197"/>
      <c r="J32" s="198">
        <v>32.808</v>
      </c>
      <c r="K32" s="199" t="s">
        <v>215</v>
      </c>
      <c r="M32" s="26" t="s">
        <v>18</v>
      </c>
      <c r="P32" s="26"/>
      <c r="Q32" s="26"/>
      <c r="R32" s="26"/>
      <c r="S32" s="26"/>
      <c r="T32" s="26"/>
      <c r="U32" s="26"/>
      <c r="V32" s="26"/>
      <c r="W32" s="24"/>
      <c r="X32" s="26"/>
      <c r="Y32" s="155"/>
    </row>
    <row r="33" spans="2:25" ht="15.75" customHeight="1">
      <c r="B33" s="135"/>
      <c r="C33" s="26"/>
      <c r="D33" s="133"/>
      <c r="E33" s="133"/>
      <c r="F33" s="26"/>
      <c r="G33" s="26"/>
      <c r="H33" s="26"/>
      <c r="I33" s="26"/>
      <c r="J33" s="26"/>
      <c r="K33" s="133"/>
      <c r="P33" s="26"/>
      <c r="Q33" s="26"/>
      <c r="R33" s="26"/>
      <c r="S33" s="26"/>
      <c r="T33" s="26"/>
      <c r="U33" s="26"/>
      <c r="V33" s="26"/>
      <c r="W33" s="26"/>
      <c r="X33" s="26"/>
      <c r="Y33" s="134"/>
    </row>
    <row r="34" spans="2:25" ht="15.75" customHeight="1">
      <c r="B34" s="135"/>
      <c r="D34" s="26"/>
      <c r="E34" s="26"/>
      <c r="F34" s="26"/>
      <c r="G34" s="26"/>
      <c r="P34" s="26"/>
      <c r="Q34" s="26"/>
      <c r="R34" s="26"/>
      <c r="S34" s="26"/>
      <c r="T34" s="26"/>
      <c r="U34" s="26"/>
      <c r="V34" s="26"/>
      <c r="W34" s="26"/>
      <c r="X34" s="26"/>
      <c r="Y34" s="134"/>
    </row>
    <row r="35" spans="2:25" ht="15.75" customHeight="1" thickBot="1">
      <c r="B35" s="200"/>
      <c r="C35" s="201"/>
      <c r="D35" s="202"/>
      <c r="E35" s="202"/>
      <c r="F35" s="201"/>
      <c r="G35" s="201"/>
      <c r="H35" s="201"/>
      <c r="I35" s="201"/>
      <c r="J35" s="201"/>
      <c r="K35" s="203"/>
      <c r="L35" s="201"/>
      <c r="M35" s="201"/>
      <c r="N35" s="201"/>
      <c r="O35" s="201"/>
      <c r="P35" s="201"/>
      <c r="Q35" s="201"/>
      <c r="R35" s="201"/>
      <c r="S35" s="201"/>
      <c r="T35" s="201"/>
      <c r="U35" s="201"/>
      <c r="V35" s="201"/>
      <c r="W35" s="201"/>
      <c r="X35" s="201"/>
      <c r="Y35" s="204"/>
    </row>
    <row r="36" spans="2:3" ht="15.75" customHeight="1" thickTop="1">
      <c r="B36" s="205"/>
      <c r="C36" s="133"/>
    </row>
    <row r="37" spans="2:3" ht="15.75" customHeight="1">
      <c r="B37" s="205"/>
      <c r="C37" s="133"/>
    </row>
    <row r="38" spans="2:3" ht="15.75" customHeight="1">
      <c r="B38" s="133"/>
      <c r="C38" s="133"/>
    </row>
    <row r="39" spans="2:14" ht="15.75" customHeight="1" thickBot="1">
      <c r="B39" s="133"/>
      <c r="C39" s="206" t="s">
        <v>265</v>
      </c>
      <c r="L39"/>
      <c r="M39"/>
      <c r="N39"/>
    </row>
    <row r="40" spans="2:14" ht="15.75" customHeight="1" thickTop="1">
      <c r="B40" s="133"/>
      <c r="C40" s="128"/>
      <c r="D40" s="129"/>
      <c r="E40" s="129"/>
      <c r="F40" s="129"/>
      <c r="G40" s="129"/>
      <c r="H40" s="129"/>
      <c r="I40" s="129"/>
      <c r="J40" s="129"/>
      <c r="K40" s="129"/>
      <c r="L40" s="129"/>
      <c r="M40" s="129"/>
      <c r="N40" s="130"/>
    </row>
    <row r="41" spans="2:14" ht="15.75" customHeight="1">
      <c r="B41" s="133"/>
      <c r="C41" s="135"/>
      <c r="D41" s="26" t="s">
        <v>266</v>
      </c>
      <c r="E41" s="26"/>
      <c r="F41" s="26"/>
      <c r="G41" s="26"/>
      <c r="H41" s="26"/>
      <c r="I41" s="26"/>
      <c r="J41" s="26"/>
      <c r="K41" s="26"/>
      <c r="N41" s="134"/>
    </row>
    <row r="42" spans="2:14" ht="15.75" customHeight="1">
      <c r="B42" s="133"/>
      <c r="C42" s="135"/>
      <c r="D42" s="26" t="s">
        <v>18</v>
      </c>
      <c r="E42" s="26"/>
      <c r="F42" s="26"/>
      <c r="G42" s="26"/>
      <c r="H42" s="26"/>
      <c r="I42" s="26"/>
      <c r="J42" s="26"/>
      <c r="K42" s="26"/>
      <c r="N42" s="134"/>
    </row>
    <row r="43" spans="2:14" ht="15.75" customHeight="1">
      <c r="B43" s="133"/>
      <c r="C43" s="135"/>
      <c r="D43" s="124">
        <v>1</v>
      </c>
      <c r="E43" s="124" t="s">
        <v>267</v>
      </c>
      <c r="F43" s="124" t="s">
        <v>268</v>
      </c>
      <c r="G43" s="124">
        <v>1.5</v>
      </c>
      <c r="H43" s="124" t="s">
        <v>269</v>
      </c>
      <c r="I43" s="124" t="s">
        <v>270</v>
      </c>
      <c r="J43" s="124">
        <v>1</v>
      </c>
      <c r="K43" s="124" t="s">
        <v>271</v>
      </c>
      <c r="L43" s="124" t="s">
        <v>272</v>
      </c>
      <c r="M43" s="124">
        <v>1</v>
      </c>
      <c r="N43" s="207" t="s">
        <v>273</v>
      </c>
    </row>
    <row r="44" spans="3:14" ht="15.75" customHeight="1">
      <c r="C44" s="135"/>
      <c r="D44" s="208">
        <f>D43</f>
        <v>1</v>
      </c>
      <c r="E44" s="208">
        <v>-20.6</v>
      </c>
      <c r="F44" s="91" t="s">
        <v>268</v>
      </c>
      <c r="G44" s="208">
        <f>G43</f>
        <v>1.5</v>
      </c>
      <c r="H44" s="208">
        <v>0</v>
      </c>
      <c r="I44" s="91" t="s">
        <v>270</v>
      </c>
      <c r="J44" s="208">
        <f>J43</f>
        <v>1</v>
      </c>
      <c r="K44" s="208">
        <v>-393.5</v>
      </c>
      <c r="L44" s="91" t="s">
        <v>268</v>
      </c>
      <c r="M44" s="208">
        <f>M43</f>
        <v>1</v>
      </c>
      <c r="N44" s="209">
        <v>-241.8</v>
      </c>
    </row>
    <row r="45" spans="3:14" ht="15.75" customHeight="1">
      <c r="C45" s="135"/>
      <c r="D45" s="91"/>
      <c r="E45" s="91">
        <f>D44*E44</f>
        <v>-20.6</v>
      </c>
      <c r="F45" s="91"/>
      <c r="G45" s="91"/>
      <c r="H45" s="91">
        <f>G44*H44</f>
        <v>0</v>
      </c>
      <c r="I45" s="91" t="s">
        <v>270</v>
      </c>
      <c r="J45" s="91"/>
      <c r="K45" s="91">
        <f>J44*K44</f>
        <v>-393.5</v>
      </c>
      <c r="L45" s="91" t="s">
        <v>268</v>
      </c>
      <c r="M45" s="91"/>
      <c r="N45" s="210">
        <f>M44*N44</f>
        <v>-241.8</v>
      </c>
    </row>
    <row r="46" spans="3:14" ht="15.75" customHeight="1">
      <c r="C46" s="135"/>
      <c r="D46" s="26"/>
      <c r="E46" s="26"/>
      <c r="F46" s="26"/>
      <c r="G46" s="26"/>
      <c r="H46" s="26">
        <f>E45+H45</f>
        <v>-20.6</v>
      </c>
      <c r="I46" s="91" t="s">
        <v>270</v>
      </c>
      <c r="J46" s="26">
        <f>K45+N45</f>
        <v>-635.3</v>
      </c>
      <c r="K46" s="26"/>
      <c r="N46" s="134"/>
    </row>
    <row r="47" spans="3:14" ht="15.75" customHeight="1">
      <c r="C47" s="135"/>
      <c r="D47" s="26" t="s">
        <v>274</v>
      </c>
      <c r="E47" s="91">
        <f>J46</f>
        <v>-635.3</v>
      </c>
      <c r="F47" s="91" t="s">
        <v>275</v>
      </c>
      <c r="G47" s="91">
        <f>H46</f>
        <v>-20.6</v>
      </c>
      <c r="H47" s="26"/>
      <c r="I47" s="26"/>
      <c r="J47" s="26"/>
      <c r="K47" s="26"/>
      <c r="N47" s="134"/>
    </row>
    <row r="48" spans="3:14" ht="15.75" customHeight="1">
      <c r="C48" s="135"/>
      <c r="D48" s="26" t="s">
        <v>274</v>
      </c>
      <c r="E48" s="91">
        <f>E47-G47</f>
        <v>-614.6999999999999</v>
      </c>
      <c r="F48" s="24" t="s">
        <v>276</v>
      </c>
      <c r="G48" s="26"/>
      <c r="H48" s="26"/>
      <c r="I48" s="26"/>
      <c r="J48" s="26"/>
      <c r="K48" s="26"/>
      <c r="N48" s="134"/>
    </row>
    <row r="49" spans="3:14" ht="18">
      <c r="C49" s="135"/>
      <c r="D49" s="26" t="s">
        <v>274</v>
      </c>
      <c r="E49" s="91">
        <f>E48*1000</f>
        <v>-614699.9999999999</v>
      </c>
      <c r="F49" s="24" t="s">
        <v>277</v>
      </c>
      <c r="G49" s="26"/>
      <c r="H49" s="26"/>
      <c r="I49" s="26"/>
      <c r="J49" s="26"/>
      <c r="K49" s="26"/>
      <c r="N49" s="134"/>
    </row>
    <row r="50" spans="3:14" ht="12.75">
      <c r="C50" s="135"/>
      <c r="D50" s="26"/>
      <c r="E50" s="26"/>
      <c r="F50" s="26"/>
      <c r="G50" s="26"/>
      <c r="H50" s="26"/>
      <c r="I50" s="26"/>
      <c r="J50" s="26"/>
      <c r="K50" s="26"/>
      <c r="N50" s="134"/>
    </row>
    <row r="51" spans="3:14" ht="12.75">
      <c r="C51" s="135"/>
      <c r="D51" s="26" t="s">
        <v>254</v>
      </c>
      <c r="E51" s="26"/>
      <c r="F51" s="26"/>
      <c r="G51" s="26"/>
      <c r="H51" s="26"/>
      <c r="I51" s="26"/>
      <c r="J51" s="26"/>
      <c r="K51" s="26"/>
      <c r="N51" s="134"/>
    </row>
    <row r="52" spans="3:14" ht="12.75">
      <c r="C52" s="135"/>
      <c r="D52" s="26" t="s">
        <v>278</v>
      </c>
      <c r="E52" s="208">
        <f>GasMolarMass(D51)</f>
        <v>34.081</v>
      </c>
      <c r="F52" s="26" t="s">
        <v>209</v>
      </c>
      <c r="G52" s="26"/>
      <c r="H52" s="26"/>
      <c r="I52" s="26"/>
      <c r="J52" s="26"/>
      <c r="K52" s="26"/>
      <c r="N52" s="134"/>
    </row>
    <row r="53" spans="3:14" ht="12.75">
      <c r="C53" s="135"/>
      <c r="D53" s="26"/>
      <c r="E53" s="26"/>
      <c r="F53" s="26"/>
      <c r="G53" s="26"/>
      <c r="H53" s="26"/>
      <c r="I53" s="26"/>
      <c r="J53" s="26"/>
      <c r="K53" s="26"/>
      <c r="N53" s="134"/>
    </row>
    <row r="54" spans="3:14" ht="18">
      <c r="C54" s="135"/>
      <c r="D54" s="26" t="s">
        <v>274</v>
      </c>
      <c r="E54" s="26" t="s">
        <v>279</v>
      </c>
      <c r="F54" s="26" t="s">
        <v>181</v>
      </c>
      <c r="G54" s="26"/>
      <c r="H54" s="26"/>
      <c r="I54" s="26"/>
      <c r="J54" s="26"/>
      <c r="K54" s="26"/>
      <c r="N54" s="134"/>
    </row>
    <row r="55" spans="3:14" ht="18">
      <c r="C55" s="135"/>
      <c r="D55" s="91" t="s">
        <v>274</v>
      </c>
      <c r="E55" s="91">
        <f>E49</f>
        <v>-614699.9999999999</v>
      </c>
      <c r="F55" s="24" t="s">
        <v>277</v>
      </c>
      <c r="G55" s="26"/>
      <c r="H55" s="26"/>
      <c r="I55" s="26"/>
      <c r="J55" s="26"/>
      <c r="K55" s="26"/>
      <c r="N55" s="134"/>
    </row>
    <row r="56" spans="3:14" ht="13.5" thickBot="1">
      <c r="C56" s="135"/>
      <c r="D56" s="91" t="s">
        <v>278</v>
      </c>
      <c r="E56" s="91">
        <f>E52</f>
        <v>34.081</v>
      </c>
      <c r="F56" s="26" t="s">
        <v>209</v>
      </c>
      <c r="G56" s="26"/>
      <c r="H56" s="26"/>
      <c r="I56" s="26"/>
      <c r="J56" s="26"/>
      <c r="K56" s="26"/>
      <c r="N56" s="134"/>
    </row>
    <row r="57" spans="3:14" ht="19.5" thickBot="1" thickTop="1">
      <c r="C57" s="135"/>
      <c r="D57" s="211" t="s">
        <v>274</v>
      </c>
      <c r="E57" s="212">
        <f>E55/E56</f>
        <v>-18036.442592646923</v>
      </c>
      <c r="F57" s="213" t="s">
        <v>280</v>
      </c>
      <c r="G57" s="26"/>
      <c r="H57" s="26"/>
      <c r="I57" s="26"/>
      <c r="J57" s="26"/>
      <c r="K57" s="26"/>
      <c r="N57" s="134"/>
    </row>
    <row r="58" spans="3:14" ht="13.5" thickTop="1">
      <c r="C58" s="135"/>
      <c r="D58" s="26"/>
      <c r="E58" s="26"/>
      <c r="F58" s="26"/>
      <c r="G58" s="26"/>
      <c r="H58" s="26"/>
      <c r="I58" s="26"/>
      <c r="J58" s="26"/>
      <c r="K58" s="26"/>
      <c r="N58" s="134"/>
    </row>
    <row r="59" spans="3:14" ht="12.75">
      <c r="C59" s="135"/>
      <c r="D59" s="214" t="s">
        <v>188</v>
      </c>
      <c r="E59" s="215">
        <f>-E57/1000</f>
        <v>18.036442592646925</v>
      </c>
      <c r="F59" s="214" t="s">
        <v>210</v>
      </c>
      <c r="G59" s="26"/>
      <c r="H59" s="26"/>
      <c r="I59" s="26"/>
      <c r="J59" s="26"/>
      <c r="K59" s="26"/>
      <c r="N59" s="134"/>
    </row>
    <row r="60" spans="3:14" ht="13.5" thickBot="1">
      <c r="C60" s="200"/>
      <c r="D60" s="201"/>
      <c r="E60" s="201"/>
      <c r="F60" s="201"/>
      <c r="G60" s="201"/>
      <c r="H60" s="201"/>
      <c r="I60" s="201"/>
      <c r="J60" s="201"/>
      <c r="K60" s="201"/>
      <c r="L60" s="201"/>
      <c r="M60" s="201"/>
      <c r="N60" s="204"/>
    </row>
    <row r="61" spans="12:14" ht="13.5" thickTop="1">
      <c r="L61"/>
      <c r="M61"/>
      <c r="N61"/>
    </row>
    <row r="62" spans="12:14" ht="12.75">
      <c r="L62"/>
      <c r="M62"/>
      <c r="N62"/>
    </row>
    <row r="63" spans="3:14" ht="15.75" thickBot="1">
      <c r="C63" s="206" t="s">
        <v>281</v>
      </c>
      <c r="L63"/>
      <c r="M63"/>
      <c r="N63"/>
    </row>
    <row r="64" spans="3:14" ht="13.5" thickTop="1">
      <c r="C64" s="128"/>
      <c r="D64" s="129"/>
      <c r="E64" s="129"/>
      <c r="F64" s="129"/>
      <c r="G64" s="129"/>
      <c r="H64" s="129"/>
      <c r="I64" s="129"/>
      <c r="J64" s="129"/>
      <c r="K64" s="129"/>
      <c r="L64" s="129"/>
      <c r="M64" s="129"/>
      <c r="N64" s="130"/>
    </row>
    <row r="65" spans="3:14" ht="12.75">
      <c r="C65" s="135"/>
      <c r="D65" s="26" t="s">
        <v>282</v>
      </c>
      <c r="E65" s="26"/>
      <c r="F65" s="26"/>
      <c r="G65" s="26"/>
      <c r="H65" s="26"/>
      <c r="I65" s="26"/>
      <c r="J65" s="26"/>
      <c r="K65" s="26"/>
      <c r="N65" s="134"/>
    </row>
    <row r="66" spans="3:14" ht="12.75">
      <c r="C66" s="135"/>
      <c r="D66" s="26" t="s">
        <v>18</v>
      </c>
      <c r="E66" s="26"/>
      <c r="F66" s="26"/>
      <c r="G66" s="26"/>
      <c r="H66" s="26"/>
      <c r="I66" s="26"/>
      <c r="J66" s="26"/>
      <c r="K66" s="26"/>
      <c r="N66" s="134"/>
    </row>
    <row r="67" spans="3:14" ht="12.75">
      <c r="C67" s="135"/>
      <c r="D67" s="124">
        <v>1</v>
      </c>
      <c r="E67" s="124" t="s">
        <v>267</v>
      </c>
      <c r="F67" s="124" t="s">
        <v>268</v>
      </c>
      <c r="G67" s="124">
        <v>1.5</v>
      </c>
      <c r="H67" s="124" t="s">
        <v>269</v>
      </c>
      <c r="I67" s="124" t="s">
        <v>270</v>
      </c>
      <c r="J67" s="124">
        <v>1</v>
      </c>
      <c r="K67" s="124" t="s">
        <v>271</v>
      </c>
      <c r="L67" s="124" t="s">
        <v>272</v>
      </c>
      <c r="M67" s="124">
        <v>1</v>
      </c>
      <c r="N67" s="207" t="s">
        <v>283</v>
      </c>
    </row>
    <row r="68" spans="3:14" ht="12.75">
      <c r="C68" s="135"/>
      <c r="D68" s="208">
        <f>D67</f>
        <v>1</v>
      </c>
      <c r="E68" s="208">
        <v>-20.6</v>
      </c>
      <c r="F68" s="91" t="s">
        <v>268</v>
      </c>
      <c r="G68" s="208">
        <f>G67</f>
        <v>1.5</v>
      </c>
      <c r="H68" s="208">
        <v>0</v>
      </c>
      <c r="I68" s="91" t="s">
        <v>270</v>
      </c>
      <c r="J68" s="208">
        <f>J67</f>
        <v>1</v>
      </c>
      <c r="K68" s="208">
        <v>-393.5</v>
      </c>
      <c r="L68" s="91" t="s">
        <v>268</v>
      </c>
      <c r="M68" s="208">
        <f>M67</f>
        <v>1</v>
      </c>
      <c r="N68" s="209">
        <v>-285.8</v>
      </c>
    </row>
    <row r="69" spans="3:14" ht="12.75">
      <c r="C69" s="135"/>
      <c r="D69" s="91"/>
      <c r="E69" s="91">
        <f>D68*E68</f>
        <v>-20.6</v>
      </c>
      <c r="F69" s="91"/>
      <c r="G69" s="91"/>
      <c r="H69" s="91">
        <f>G68*H68</f>
        <v>0</v>
      </c>
      <c r="I69" s="91" t="s">
        <v>270</v>
      </c>
      <c r="J69" s="91"/>
      <c r="K69" s="91">
        <f>J68*K68</f>
        <v>-393.5</v>
      </c>
      <c r="L69" s="91" t="s">
        <v>268</v>
      </c>
      <c r="M69" s="91"/>
      <c r="N69" s="210">
        <f>M68*N68</f>
        <v>-285.8</v>
      </c>
    </row>
    <row r="70" spans="3:14" ht="12.75">
      <c r="C70" s="135"/>
      <c r="D70" s="91"/>
      <c r="E70" s="91"/>
      <c r="F70" s="91"/>
      <c r="G70" s="91"/>
      <c r="H70" s="91">
        <f>E69+H69</f>
        <v>-20.6</v>
      </c>
      <c r="I70" s="91" t="s">
        <v>270</v>
      </c>
      <c r="J70" s="91">
        <f>K69+N69</f>
        <v>-679.3</v>
      </c>
      <c r="K70" s="91"/>
      <c r="L70" s="91"/>
      <c r="M70" s="91"/>
      <c r="N70" s="210"/>
    </row>
    <row r="71" spans="3:14" ht="18">
      <c r="C71" s="135"/>
      <c r="D71" s="91" t="s">
        <v>274</v>
      </c>
      <c r="E71" s="91">
        <f>J70</f>
        <v>-679.3</v>
      </c>
      <c r="F71" s="91" t="s">
        <v>275</v>
      </c>
      <c r="G71" s="91">
        <f>H70</f>
        <v>-20.6</v>
      </c>
      <c r="H71" s="91"/>
      <c r="I71" s="91"/>
      <c r="J71" s="91"/>
      <c r="K71" s="91"/>
      <c r="L71" s="91"/>
      <c r="M71" s="91"/>
      <c r="N71" s="210"/>
    </row>
    <row r="72" spans="3:14" ht="18">
      <c r="C72" s="135"/>
      <c r="D72" s="91" t="s">
        <v>274</v>
      </c>
      <c r="E72" s="91">
        <f>E71-G71</f>
        <v>-658.6999999999999</v>
      </c>
      <c r="F72" s="24" t="s">
        <v>276</v>
      </c>
      <c r="G72" s="91"/>
      <c r="H72" s="91"/>
      <c r="I72" s="91"/>
      <c r="J72" s="91"/>
      <c r="K72" s="91"/>
      <c r="L72" s="91"/>
      <c r="M72" s="91"/>
      <c r="N72" s="210"/>
    </row>
    <row r="73" spans="3:14" ht="18">
      <c r="C73" s="135"/>
      <c r="D73" s="91" t="s">
        <v>274</v>
      </c>
      <c r="E73" s="91">
        <f>E72*1000</f>
        <v>-658699.9999999999</v>
      </c>
      <c r="F73" s="24" t="s">
        <v>277</v>
      </c>
      <c r="G73" s="91"/>
      <c r="H73" s="91"/>
      <c r="I73" s="91"/>
      <c r="J73" s="91"/>
      <c r="K73" s="91"/>
      <c r="L73" s="91"/>
      <c r="M73" s="91"/>
      <c r="N73" s="210"/>
    </row>
    <row r="74" spans="3:14" ht="12.75">
      <c r="C74" s="135"/>
      <c r="D74" s="91"/>
      <c r="E74" s="91"/>
      <c r="F74" s="91"/>
      <c r="G74" s="91"/>
      <c r="H74" s="91"/>
      <c r="I74" s="91"/>
      <c r="J74" s="91"/>
      <c r="K74" s="91"/>
      <c r="L74" s="91"/>
      <c r="M74" s="91"/>
      <c r="N74" s="210"/>
    </row>
    <row r="75" spans="3:14" ht="12.75">
      <c r="C75" s="135"/>
      <c r="D75" s="91" t="s">
        <v>254</v>
      </c>
      <c r="E75" s="91"/>
      <c r="F75" s="91"/>
      <c r="G75" s="91"/>
      <c r="H75" s="91"/>
      <c r="I75" s="91"/>
      <c r="J75" s="91"/>
      <c r="K75" s="91"/>
      <c r="L75" s="91"/>
      <c r="M75" s="91"/>
      <c r="N75" s="210"/>
    </row>
    <row r="76" spans="3:14" ht="12.75">
      <c r="C76" s="135"/>
      <c r="D76" s="91" t="s">
        <v>278</v>
      </c>
      <c r="E76" s="208">
        <f>GasMolarMass(D75)</f>
        <v>34.081</v>
      </c>
      <c r="F76" s="91" t="s">
        <v>209</v>
      </c>
      <c r="G76" s="91"/>
      <c r="H76" s="91"/>
      <c r="I76" s="91"/>
      <c r="J76" s="91"/>
      <c r="K76" s="91"/>
      <c r="L76" s="91"/>
      <c r="M76" s="91"/>
      <c r="N76" s="210"/>
    </row>
    <row r="77" spans="3:14" ht="12.75">
      <c r="C77" s="135"/>
      <c r="D77" s="91"/>
      <c r="E77" s="91"/>
      <c r="F77" s="91"/>
      <c r="G77" s="91"/>
      <c r="H77" s="91"/>
      <c r="I77" s="91"/>
      <c r="J77" s="91"/>
      <c r="K77" s="91"/>
      <c r="L77" s="91"/>
      <c r="M77" s="91"/>
      <c r="N77" s="210"/>
    </row>
    <row r="78" spans="3:14" ht="18">
      <c r="C78" s="135"/>
      <c r="D78" s="91" t="s">
        <v>274</v>
      </c>
      <c r="E78" s="91" t="s">
        <v>279</v>
      </c>
      <c r="F78" s="91" t="s">
        <v>181</v>
      </c>
      <c r="G78" s="91"/>
      <c r="H78" s="91"/>
      <c r="I78" s="91"/>
      <c r="J78" s="91"/>
      <c r="K78" s="91"/>
      <c r="L78" s="91"/>
      <c r="M78" s="91"/>
      <c r="N78" s="210"/>
    </row>
    <row r="79" spans="3:14" ht="18">
      <c r="C79" s="135"/>
      <c r="D79" s="91" t="s">
        <v>274</v>
      </c>
      <c r="E79" s="91">
        <f>E73</f>
        <v>-658699.9999999999</v>
      </c>
      <c r="F79" s="24" t="s">
        <v>277</v>
      </c>
      <c r="G79" s="91"/>
      <c r="H79" s="91"/>
      <c r="I79" s="91"/>
      <c r="J79" s="91"/>
      <c r="K79" s="91"/>
      <c r="L79" s="91"/>
      <c r="M79" s="91"/>
      <c r="N79" s="210"/>
    </row>
    <row r="80" spans="3:14" ht="13.5" thickBot="1">
      <c r="C80" s="135"/>
      <c r="D80" s="91" t="s">
        <v>278</v>
      </c>
      <c r="E80" s="91">
        <f>E76</f>
        <v>34.081</v>
      </c>
      <c r="F80" s="91" t="s">
        <v>209</v>
      </c>
      <c r="G80" s="91"/>
      <c r="H80" s="91"/>
      <c r="I80" s="91"/>
      <c r="J80" s="91"/>
      <c r="K80" s="91"/>
      <c r="L80" s="91"/>
      <c r="M80" s="91"/>
      <c r="N80" s="210"/>
    </row>
    <row r="81" spans="3:14" ht="19.5" thickBot="1" thickTop="1">
      <c r="C81" s="135"/>
      <c r="D81" s="216" t="s">
        <v>274</v>
      </c>
      <c r="E81" s="212">
        <f>E79/E80</f>
        <v>-19327.48452216777</v>
      </c>
      <c r="F81" s="217" t="s">
        <v>280</v>
      </c>
      <c r="G81" s="91"/>
      <c r="H81" s="91"/>
      <c r="I81" s="91"/>
      <c r="J81" s="91"/>
      <c r="K81" s="91"/>
      <c r="L81" s="91"/>
      <c r="M81" s="91"/>
      <c r="N81" s="210"/>
    </row>
    <row r="82" spans="3:14" ht="13.5" thickTop="1">
      <c r="C82" s="135"/>
      <c r="D82" s="91"/>
      <c r="E82" s="91"/>
      <c r="F82" s="91"/>
      <c r="G82" s="91"/>
      <c r="H82" s="91"/>
      <c r="I82" s="91"/>
      <c r="J82" s="91"/>
      <c r="K82" s="91"/>
      <c r="L82" s="91"/>
      <c r="M82" s="91"/>
      <c r="N82" s="210"/>
    </row>
    <row r="83" spans="3:14" ht="12.75">
      <c r="C83" s="135"/>
      <c r="D83" s="218" t="s">
        <v>284</v>
      </c>
      <c r="E83" s="215">
        <f>-E81/1000</f>
        <v>19.327484522167772</v>
      </c>
      <c r="F83" s="218" t="s">
        <v>210</v>
      </c>
      <c r="G83" s="91"/>
      <c r="H83" s="91"/>
      <c r="I83" s="91"/>
      <c r="J83" s="91"/>
      <c r="K83" s="91"/>
      <c r="L83" s="91"/>
      <c r="M83" s="91"/>
      <c r="N83" s="210"/>
    </row>
    <row r="84" spans="3:14" ht="13.5" thickBot="1">
      <c r="C84" s="200"/>
      <c r="D84" s="219"/>
      <c r="E84" s="219"/>
      <c r="F84" s="219"/>
      <c r="G84" s="219"/>
      <c r="H84" s="219"/>
      <c r="I84" s="219"/>
      <c r="J84" s="219"/>
      <c r="K84" s="219"/>
      <c r="L84" s="219"/>
      <c r="M84" s="219"/>
      <c r="N84" s="220"/>
    </row>
    <row r="85" ht="13.5" thickTop="1"/>
  </sheetData>
  <sheetProtection/>
  <hyperlinks>
    <hyperlink ref="J9" r:id="rId1" display=".@ 15.4 ºC"/>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7"/>
  <dimension ref="B2:M102"/>
  <sheetViews>
    <sheetView showGridLines="0" zoomScalePageLayoutView="0" workbookViewId="0" topLeftCell="A1">
      <selection activeCell="A1" sqref="A1"/>
    </sheetView>
  </sheetViews>
  <sheetFormatPr defaultColWidth="9.140625" defaultRowHeight="12.75"/>
  <cols>
    <col min="7" max="7" width="13.00390625" style="0" customWidth="1"/>
    <col min="8" max="8" width="12.421875" style="0" customWidth="1"/>
    <col min="9" max="9" width="10.7109375" style="0" customWidth="1"/>
    <col min="10" max="10" width="11.421875" style="0" customWidth="1"/>
  </cols>
  <sheetData>
    <row r="2" ht="12.75">
      <c r="B2" s="2" t="s">
        <v>151</v>
      </c>
    </row>
    <row r="4" spans="2:13" ht="43.5" customHeight="1">
      <c r="B4" s="710" t="s">
        <v>66</v>
      </c>
      <c r="C4" s="710"/>
      <c r="D4" s="710"/>
      <c r="E4" s="710"/>
      <c r="F4" s="710"/>
      <c r="G4" s="710"/>
      <c r="H4" s="710"/>
      <c r="I4" s="710"/>
      <c r="J4" s="710"/>
      <c r="K4" s="710"/>
      <c r="L4" s="710"/>
      <c r="M4" s="710"/>
    </row>
    <row r="5" spans="2:10" ht="13.5" customHeight="1">
      <c r="B5" s="114"/>
      <c r="C5" s="114"/>
      <c r="D5" s="114"/>
      <c r="E5" s="114"/>
      <c r="F5" s="114"/>
      <c r="G5" s="114"/>
      <c r="H5" s="114"/>
      <c r="I5" s="114"/>
      <c r="J5" s="114"/>
    </row>
    <row r="6" spans="2:11" ht="12.75" customHeight="1">
      <c r="B6" s="4" t="s">
        <v>3</v>
      </c>
      <c r="C6" s="114"/>
      <c r="D6" s="114"/>
      <c r="E6" s="114"/>
      <c r="F6" s="114"/>
      <c r="H6" s="114"/>
      <c r="I6" s="114"/>
      <c r="J6" s="114"/>
      <c r="K6" s="114"/>
    </row>
    <row r="8" ht="14.25">
      <c r="B8" t="s">
        <v>462</v>
      </c>
    </row>
    <row r="9" ht="15.75">
      <c r="B9" t="s">
        <v>463</v>
      </c>
    </row>
    <row r="10" ht="15.75">
      <c r="B10" s="37" t="s">
        <v>464</v>
      </c>
    </row>
    <row r="11" ht="12.75">
      <c r="B11" t="s">
        <v>63</v>
      </c>
    </row>
    <row r="12" ht="12.75">
      <c r="B12" t="s">
        <v>81</v>
      </c>
    </row>
    <row r="13" ht="12.75">
      <c r="B13" t="s">
        <v>82</v>
      </c>
    </row>
    <row r="15" ht="12.75">
      <c r="B15" s="3" t="s">
        <v>0</v>
      </c>
    </row>
    <row r="17" ht="12.75">
      <c r="B17" t="s">
        <v>1</v>
      </c>
    </row>
    <row r="18" ht="12.75">
      <c r="B18" t="s">
        <v>2</v>
      </c>
    </row>
    <row r="19" ht="15.75">
      <c r="B19" t="s">
        <v>465</v>
      </c>
    </row>
    <row r="20" ht="12.75">
      <c r="B20" t="s">
        <v>7</v>
      </c>
    </row>
    <row r="24" ht="12.75">
      <c r="B24" t="s">
        <v>67</v>
      </c>
    </row>
    <row r="26" ht="12.75">
      <c r="B26" s="3" t="s">
        <v>5</v>
      </c>
    </row>
    <row r="28" ht="12.75">
      <c r="B28" s="2" t="s">
        <v>6</v>
      </c>
    </row>
    <row r="29" ht="12.75">
      <c r="B29" s="2"/>
    </row>
    <row r="30" ht="12.75">
      <c r="B30" s="3" t="s">
        <v>154</v>
      </c>
    </row>
    <row r="31" ht="18.75" customHeight="1">
      <c r="B31" s="54" t="s">
        <v>159</v>
      </c>
    </row>
    <row r="32" spans="2:8" ht="8.25" customHeight="1">
      <c r="B32" s="5"/>
      <c r="C32" s="5"/>
      <c r="D32" s="5"/>
      <c r="E32" s="5"/>
      <c r="F32" s="5"/>
      <c r="G32" s="5"/>
      <c r="H32" s="5"/>
    </row>
    <row r="33" s="37" customFormat="1" ht="12.75">
      <c r="B33" s="37" t="s">
        <v>155</v>
      </c>
    </row>
    <row r="34" s="37" customFormat="1" ht="12.75">
      <c r="B34" s="37" t="s">
        <v>156</v>
      </c>
    </row>
    <row r="35" s="37" customFormat="1" ht="12.75">
      <c r="B35" s="37" t="s">
        <v>157</v>
      </c>
    </row>
    <row r="36" s="37" customFormat="1" ht="12.75">
      <c r="B36" s="37" t="s">
        <v>158</v>
      </c>
    </row>
    <row r="37" s="37" customFormat="1" ht="12.75"/>
    <row r="38" s="37" customFormat="1" ht="12.75">
      <c r="B38" s="3" t="s">
        <v>160</v>
      </c>
    </row>
    <row r="39" spans="10:12" s="37" customFormat="1" ht="12.75">
      <c r="J39" s="8"/>
      <c r="K39" s="7" t="s">
        <v>8</v>
      </c>
      <c r="L39" s="7" t="s">
        <v>9</v>
      </c>
    </row>
    <row r="40" spans="2:12" ht="15.75">
      <c r="B40" s="5" t="s">
        <v>466</v>
      </c>
      <c r="C40" s="5">
        <f>(4*K40+L40)/4</f>
        <v>2</v>
      </c>
      <c r="D40" s="5" t="s">
        <v>467</v>
      </c>
      <c r="E40" s="5">
        <f>K40</f>
        <v>1</v>
      </c>
      <c r="F40" s="5" t="s">
        <v>468</v>
      </c>
      <c r="G40" s="5">
        <f>L40/2</f>
        <v>2</v>
      </c>
      <c r="H40" s="5" t="s">
        <v>469</v>
      </c>
      <c r="J40" s="7" t="s">
        <v>30</v>
      </c>
      <c r="K40" s="8">
        <v>1</v>
      </c>
      <c r="L40" s="8">
        <v>4</v>
      </c>
    </row>
    <row r="41" spans="2:12" ht="15.75">
      <c r="B41" s="5" t="s">
        <v>470</v>
      </c>
      <c r="C41" s="5">
        <f>(4*K41+L41)/4</f>
        <v>3.5</v>
      </c>
      <c r="D41" s="5" t="s">
        <v>471</v>
      </c>
      <c r="E41" s="5">
        <f>K41</f>
        <v>2</v>
      </c>
      <c r="F41" s="5" t="s">
        <v>468</v>
      </c>
      <c r="G41" s="5">
        <f>L41/2</f>
        <v>3</v>
      </c>
      <c r="H41" s="5" t="s">
        <v>469</v>
      </c>
      <c r="J41" s="7" t="s">
        <v>472</v>
      </c>
      <c r="K41" s="8">
        <v>2</v>
      </c>
      <c r="L41" s="8">
        <v>6</v>
      </c>
    </row>
    <row r="42" spans="2:8" ht="12.75">
      <c r="B42" s="5"/>
      <c r="C42" s="5"/>
      <c r="D42" s="5"/>
      <c r="E42" s="5"/>
      <c r="F42" s="5"/>
      <c r="G42" s="5"/>
      <c r="H42" s="5"/>
    </row>
    <row r="43" spans="2:8" ht="12.75">
      <c r="B43" s="5"/>
      <c r="C43" s="5"/>
      <c r="D43" s="5"/>
      <c r="E43" s="5"/>
      <c r="F43" s="5"/>
      <c r="G43" s="5"/>
      <c r="H43" s="5"/>
    </row>
    <row r="44" ht="12.75">
      <c r="B44" s="10" t="s">
        <v>21</v>
      </c>
    </row>
    <row r="45" ht="12.75">
      <c r="B45" s="3" t="s">
        <v>13</v>
      </c>
    </row>
    <row r="47" spans="2:4" ht="15.75">
      <c r="B47" t="s">
        <v>473</v>
      </c>
      <c r="C47">
        <v>0.9</v>
      </c>
      <c r="D47" t="s">
        <v>16</v>
      </c>
    </row>
    <row r="48" spans="2:4" ht="18" customHeight="1">
      <c r="B48" t="s">
        <v>474</v>
      </c>
      <c r="C48">
        <v>0.06</v>
      </c>
      <c r="D48" t="s">
        <v>16</v>
      </c>
    </row>
    <row r="49" spans="2:9" ht="15.75">
      <c r="B49" t="s">
        <v>475</v>
      </c>
      <c r="C49" s="9">
        <f>1.3*(C40*C47+C41*C48)</f>
        <v>2.6130000000000004</v>
      </c>
      <c r="D49" t="s">
        <v>16</v>
      </c>
      <c r="F49" s="6" t="s">
        <v>83</v>
      </c>
      <c r="I49" s="6" t="s">
        <v>62</v>
      </c>
    </row>
    <row r="50" spans="2:9" ht="15.75">
      <c r="B50" t="s">
        <v>476</v>
      </c>
      <c r="C50" s="9">
        <f>0.04+(0.79/0.21)*C49</f>
        <v>9.869857142857144</v>
      </c>
      <c r="D50" t="s">
        <v>16</v>
      </c>
      <c r="F50" s="6" t="s">
        <v>19</v>
      </c>
      <c r="I50" s="6" t="s">
        <v>78</v>
      </c>
    </row>
    <row r="51" spans="2:9" ht="15.75">
      <c r="B51" s="11" t="s">
        <v>477</v>
      </c>
      <c r="C51">
        <f>E40*C47+E41*C48</f>
        <v>1.02</v>
      </c>
      <c r="D51" t="s">
        <v>16</v>
      </c>
      <c r="F51" s="6" t="s">
        <v>23</v>
      </c>
      <c r="I51" t="s">
        <v>18</v>
      </c>
    </row>
    <row r="52" spans="2:6" ht="15.75">
      <c r="B52" s="11" t="s">
        <v>478</v>
      </c>
      <c r="C52">
        <f>G40*C47+G41*C48</f>
        <v>1.98</v>
      </c>
      <c r="D52" t="s">
        <v>16</v>
      </c>
      <c r="F52" s="6" t="s">
        <v>25</v>
      </c>
    </row>
    <row r="53" spans="2:9" ht="12.75">
      <c r="B53" t="s">
        <v>26</v>
      </c>
      <c r="C53">
        <f>0.3*(C40*C47+C41*C48)</f>
        <v>0.6030000000000001</v>
      </c>
      <c r="D53" t="s">
        <v>16</v>
      </c>
      <c r="F53" s="6" t="s">
        <v>27</v>
      </c>
      <c r="I53" s="6" t="s">
        <v>28</v>
      </c>
    </row>
    <row r="54" spans="2:9" ht="15.75">
      <c r="B54" t="s">
        <v>479</v>
      </c>
      <c r="C54" s="9">
        <f>C50</f>
        <v>9.869857142857144</v>
      </c>
      <c r="D54" t="s">
        <v>16</v>
      </c>
      <c r="I54" s="6" t="s">
        <v>36</v>
      </c>
    </row>
    <row r="55" spans="2:9" ht="14.25">
      <c r="B55" s="37" t="s">
        <v>73</v>
      </c>
      <c r="C55" s="37"/>
      <c r="D55" s="38">
        <f>(C49+C50-0.04)*359</f>
        <v>4466.985714285715</v>
      </c>
      <c r="E55" s="37" t="s">
        <v>75</v>
      </c>
      <c r="F55" s="37"/>
      <c r="I55" s="6" t="s">
        <v>74</v>
      </c>
    </row>
    <row r="56" spans="3:10" ht="12.75">
      <c r="C56" s="9"/>
      <c r="F56" s="37"/>
      <c r="G56" s="37"/>
      <c r="H56" s="38"/>
      <c r="I56" s="37"/>
      <c r="J56" s="37"/>
    </row>
    <row r="57" spans="2:9" ht="12.75">
      <c r="B57" s="2" t="s">
        <v>37</v>
      </c>
      <c r="C57" s="9"/>
      <c r="F57" s="6"/>
      <c r="I57" s="6"/>
    </row>
    <row r="58" spans="3:9" ht="12.75">
      <c r="C58" s="9"/>
      <c r="F58" s="6"/>
      <c r="I58" s="6"/>
    </row>
    <row r="59" spans="2:10" ht="42.75" customHeight="1">
      <c r="B59" s="711" t="s">
        <v>71</v>
      </c>
      <c r="C59" s="712"/>
      <c r="D59" s="712"/>
      <c r="E59" s="712"/>
      <c r="F59" s="712"/>
      <c r="G59" s="712"/>
      <c r="H59" s="712"/>
      <c r="I59" s="712"/>
      <c r="J59" s="712"/>
    </row>
    <row r="60" spans="2:10" ht="12" customHeight="1">
      <c r="B60" s="367"/>
      <c r="C60" s="116"/>
      <c r="D60" s="116"/>
      <c r="E60" s="116"/>
      <c r="F60" s="116"/>
      <c r="G60" s="116"/>
      <c r="H60" s="116"/>
      <c r="I60" s="116"/>
      <c r="J60" s="116"/>
    </row>
    <row r="61" spans="2:10" ht="12" customHeight="1">
      <c r="B61" s="367"/>
      <c r="C61" s="116"/>
      <c r="D61" s="116"/>
      <c r="E61" s="116"/>
      <c r="F61" s="713" t="s">
        <v>54</v>
      </c>
      <c r="G61" s="713"/>
      <c r="H61" s="116"/>
      <c r="I61" s="116"/>
      <c r="J61" s="116"/>
    </row>
    <row r="62" spans="2:10" ht="12" customHeight="1">
      <c r="B62" s="367"/>
      <c r="C62" s="116"/>
      <c r="D62" s="116"/>
      <c r="E62" s="116"/>
      <c r="F62" s="434"/>
      <c r="G62" s="434"/>
      <c r="H62" s="116"/>
      <c r="I62" s="116"/>
      <c r="J62" s="116"/>
    </row>
    <row r="63" spans="2:10" ht="12" customHeight="1">
      <c r="B63" s="367"/>
      <c r="C63" s="116"/>
      <c r="D63" s="116"/>
      <c r="E63" s="116"/>
      <c r="F63" s="434" t="s">
        <v>55</v>
      </c>
      <c r="G63" s="434"/>
      <c r="H63" s="116"/>
      <c r="I63" s="116"/>
      <c r="J63" s="116"/>
    </row>
    <row r="64" spans="2:10" ht="12" customHeight="1">
      <c r="B64" s="367"/>
      <c r="C64" s="116"/>
      <c r="D64" s="116"/>
      <c r="E64" s="116"/>
      <c r="F64" s="116"/>
      <c r="G64" s="116"/>
      <c r="H64" s="116"/>
      <c r="I64" s="116"/>
      <c r="J64" s="116"/>
    </row>
    <row r="65" spans="2:10" ht="12" customHeight="1">
      <c r="B65" s="711" t="s">
        <v>70</v>
      </c>
      <c r="C65" s="710"/>
      <c r="D65" s="710"/>
      <c r="E65" s="710"/>
      <c r="F65" s="710"/>
      <c r="G65" s="710"/>
      <c r="H65" s="710"/>
      <c r="I65" s="710"/>
      <c r="J65" s="710"/>
    </row>
    <row r="66" spans="2:10" ht="12" customHeight="1">
      <c r="B66" s="367"/>
      <c r="C66" s="114"/>
      <c r="D66" s="114"/>
      <c r="E66" s="114"/>
      <c r="F66" s="114"/>
      <c r="G66" s="114"/>
      <c r="H66" s="114"/>
      <c r="I66" s="114"/>
      <c r="J66" s="114"/>
    </row>
    <row r="67" spans="2:10" ht="12" customHeight="1">
      <c r="B67" s="41" t="s">
        <v>56</v>
      </c>
      <c r="C67" s="114"/>
      <c r="D67" s="114"/>
      <c r="E67" s="114"/>
      <c r="F67" s="114"/>
      <c r="G67" s="114"/>
      <c r="H67" s="41" t="s">
        <v>55</v>
      </c>
      <c r="I67" s="114"/>
      <c r="J67" s="114"/>
    </row>
    <row r="68" spans="2:10" ht="12" customHeight="1">
      <c r="B68" s="367"/>
      <c r="C68" s="114"/>
      <c r="D68" s="114"/>
      <c r="E68" s="114"/>
      <c r="F68" s="114"/>
      <c r="G68" s="114"/>
      <c r="H68" s="114"/>
      <c r="I68" s="114"/>
      <c r="J68" s="114"/>
    </row>
    <row r="69" spans="2:10" ht="12" customHeight="1">
      <c r="B69" s="367"/>
      <c r="C69" s="114"/>
      <c r="D69" s="114"/>
      <c r="E69" s="114"/>
      <c r="F69" s="114"/>
      <c r="G69" s="114"/>
      <c r="H69" s="114"/>
      <c r="I69" s="114"/>
      <c r="J69" s="114"/>
    </row>
    <row r="70" spans="2:10" ht="17.25" customHeight="1">
      <c r="B70" s="367"/>
      <c r="C70" s="116"/>
      <c r="D70" s="116"/>
      <c r="E70" s="116"/>
      <c r="F70" s="116"/>
      <c r="G70" s="116"/>
      <c r="H70" s="116"/>
      <c r="I70" s="116"/>
      <c r="J70" s="116"/>
    </row>
    <row r="71" spans="2:10" ht="12" customHeight="1">
      <c r="B71" s="116"/>
      <c r="C71" s="116"/>
      <c r="D71" s="116"/>
      <c r="E71" s="116"/>
      <c r="F71" s="116"/>
      <c r="G71" s="116"/>
      <c r="H71" s="116"/>
      <c r="I71" s="116"/>
      <c r="J71" s="116"/>
    </row>
    <row r="72" spans="2:10" ht="41.25" customHeight="1">
      <c r="B72" s="714" t="s">
        <v>480</v>
      </c>
      <c r="C72" s="712"/>
      <c r="D72" s="712"/>
      <c r="E72" s="712"/>
      <c r="F72" s="712"/>
      <c r="G72" s="712"/>
      <c r="H72" s="712"/>
      <c r="I72" s="712"/>
      <c r="J72" s="712"/>
    </row>
    <row r="73" spans="2:10" ht="15" customHeight="1">
      <c r="B73" s="116"/>
      <c r="C73" s="116"/>
      <c r="D73" s="116"/>
      <c r="E73" s="116"/>
      <c r="F73" s="116"/>
      <c r="G73" s="116"/>
      <c r="H73" s="116"/>
      <c r="I73" s="116"/>
      <c r="J73" s="116"/>
    </row>
    <row r="74" spans="3:9" ht="12.75">
      <c r="C74" s="9"/>
      <c r="F74" s="6"/>
      <c r="I74" s="6"/>
    </row>
    <row r="75" ht="12.75">
      <c r="B75" s="35" t="s">
        <v>29</v>
      </c>
    </row>
    <row r="76" ht="12.75">
      <c r="B76" s="35"/>
    </row>
    <row r="77" spans="2:9" ht="15.75">
      <c r="B77" s="24" t="s">
        <v>481</v>
      </c>
      <c r="C77">
        <v>90</v>
      </c>
      <c r="D77" s="21" t="s">
        <v>482</v>
      </c>
      <c r="F77" s="5" t="s">
        <v>483</v>
      </c>
      <c r="G77" s="30">
        <v>1000</v>
      </c>
      <c r="H77" s="21" t="s">
        <v>482</v>
      </c>
      <c r="I77" s="6" t="s">
        <v>42</v>
      </c>
    </row>
    <row r="78" spans="2:9" ht="15.75">
      <c r="B78" s="24" t="s">
        <v>481</v>
      </c>
      <c r="C78">
        <f>(5/9)*(C77+459.67)</f>
        <v>305.37222222222226</v>
      </c>
      <c r="D78" s="21" t="s">
        <v>484</v>
      </c>
      <c r="F78" s="5" t="s">
        <v>483</v>
      </c>
      <c r="G78" s="22">
        <f>(5/9)*(G77+459.67)</f>
        <v>810.9277777777778</v>
      </c>
      <c r="H78" s="21" t="s">
        <v>484</v>
      </c>
      <c r="I78" t="s">
        <v>18</v>
      </c>
    </row>
    <row r="79" ht="12.75">
      <c r="H79" s="22" t="s">
        <v>18</v>
      </c>
    </row>
    <row r="80" spans="2:11" ht="31.5">
      <c r="B80" s="14"/>
      <c r="C80" s="15" t="s">
        <v>64</v>
      </c>
      <c r="D80" s="15" t="s">
        <v>65</v>
      </c>
      <c r="E80" s="18" t="s">
        <v>38</v>
      </c>
      <c r="F80" s="18" t="s">
        <v>39</v>
      </c>
      <c r="G80" s="18" t="s">
        <v>40</v>
      </c>
      <c r="H80" s="393" t="s">
        <v>57</v>
      </c>
      <c r="I80" s="393" t="s">
        <v>58</v>
      </c>
      <c r="J80" s="435" t="s">
        <v>48</v>
      </c>
      <c r="K80" s="307" t="s">
        <v>60</v>
      </c>
    </row>
    <row r="81" spans="2:11" ht="16.5" customHeight="1">
      <c r="B81" s="16"/>
      <c r="C81" s="17" t="s">
        <v>34</v>
      </c>
      <c r="D81" s="17" t="s">
        <v>34</v>
      </c>
      <c r="E81" s="17"/>
      <c r="F81" s="17"/>
      <c r="G81" s="17"/>
      <c r="H81" s="23" t="s">
        <v>18</v>
      </c>
      <c r="I81" s="23"/>
      <c r="J81" s="16"/>
      <c r="K81" s="23" t="s">
        <v>46</v>
      </c>
    </row>
    <row r="82" spans="2:11" ht="15.75">
      <c r="B82" s="8" t="s">
        <v>30</v>
      </c>
      <c r="C82" s="8">
        <f>C47</f>
        <v>0.9</v>
      </c>
      <c r="D82" s="8">
        <v>0</v>
      </c>
      <c r="E82" s="8">
        <v>3.381</v>
      </c>
      <c r="F82" s="8">
        <v>0.018044</v>
      </c>
      <c r="G82" s="20">
        <v>-4.3E-06</v>
      </c>
      <c r="H82" s="28">
        <f>E82*t_K_in+(F82/2)*t_K_in^2+(G82/3)*t_K_in^3</f>
        <v>1832.9682759194304</v>
      </c>
      <c r="I82" s="28">
        <f>E82*T_K+(F82/2)*T_K^2+(G82/3)*T_K^3</f>
        <v>30952.470253865133</v>
      </c>
      <c r="J82" s="28">
        <f aca="true" t="shared" si="0" ref="J82:J87">(1/(T_K-t_K_in))*(I82-H82)</f>
        <v>17.381953633268008</v>
      </c>
      <c r="K82" s="436">
        <f>21520*16.041</f>
        <v>345202.32</v>
      </c>
    </row>
    <row r="83" spans="2:11" ht="15.75">
      <c r="B83" s="8" t="s">
        <v>472</v>
      </c>
      <c r="C83" s="8">
        <f>C48</f>
        <v>0.06</v>
      </c>
      <c r="D83" s="8">
        <v>0</v>
      </c>
      <c r="E83" s="8">
        <v>2.247</v>
      </c>
      <c r="F83" s="8">
        <v>0.038201</v>
      </c>
      <c r="G83" s="20">
        <v>-1.1049E-05</v>
      </c>
      <c r="H83" s="28">
        <f>E83*t_K_in+(F83/2)*t_K_in^2+(G83/3)*t_K_in^3</f>
        <v>2362.455489498888</v>
      </c>
      <c r="I83" s="28">
        <f>E83*T_K+(F83/2)*T_K^2+(G83/3)*T_K^3</f>
        <v>50764.042575581276</v>
      </c>
      <c r="J83" s="28">
        <f t="shared" si="0"/>
        <v>28.89177648519042</v>
      </c>
      <c r="K83" s="436">
        <f>20432*30.067</f>
        <v>614328.944</v>
      </c>
    </row>
    <row r="84" spans="2:11" ht="15.75">
      <c r="B84" s="8" t="s">
        <v>32</v>
      </c>
      <c r="C84" s="12">
        <f>C49</f>
        <v>2.6130000000000004</v>
      </c>
      <c r="D84" s="8">
        <f>C53</f>
        <v>0.6030000000000001</v>
      </c>
      <c r="E84" s="8">
        <v>7.16</v>
      </c>
      <c r="F84" s="19">
        <v>0.001</v>
      </c>
      <c r="G84" s="19">
        <v>-40000</v>
      </c>
      <c r="H84" s="28">
        <f>E84*t_K_in+(F84/2)*t_K_in^2-G84/t_K_in</f>
        <v>2364.0788916827833</v>
      </c>
      <c r="I84" s="28">
        <f>E84*T_K+(F84/2)*T_K^2-G84/T_K</f>
        <v>16163.084767620185</v>
      </c>
      <c r="J84" s="28">
        <f t="shared" si="0"/>
        <v>8.236874397865567</v>
      </c>
      <c r="K84" s="437">
        <v>0</v>
      </c>
    </row>
    <row r="85" spans="2:11" ht="15.75">
      <c r="B85" s="8" t="s">
        <v>33</v>
      </c>
      <c r="C85" s="12">
        <f>C50</f>
        <v>9.869857142857144</v>
      </c>
      <c r="D85" s="12">
        <f>C85</f>
        <v>9.869857142857144</v>
      </c>
      <c r="E85" s="8">
        <v>6.83</v>
      </c>
      <c r="F85" s="19">
        <v>0.0009</v>
      </c>
      <c r="G85" s="19">
        <v>-12000</v>
      </c>
      <c r="H85" s="28">
        <f>E85*t_K_in+(F85/2)*t_K_in^2-G85/t_K_in</f>
        <v>2166.952070180761</v>
      </c>
      <c r="I85" s="28">
        <f>E85*T_K+(F85/2)*T_K^2-G85/T_K</f>
        <v>15299.187730544118</v>
      </c>
      <c r="J85" s="28">
        <f t="shared" si="0"/>
        <v>7.8388672829111306</v>
      </c>
      <c r="K85" s="437">
        <v>0</v>
      </c>
    </row>
    <row r="86" spans="2:11" ht="15.75">
      <c r="B86" s="13" t="s">
        <v>485</v>
      </c>
      <c r="C86" s="8">
        <v>0</v>
      </c>
      <c r="D86" s="8">
        <f>C51</f>
        <v>1.02</v>
      </c>
      <c r="E86" s="8">
        <v>10.57</v>
      </c>
      <c r="F86" s="19">
        <v>0.0021</v>
      </c>
      <c r="G86" s="19">
        <v>-206000</v>
      </c>
      <c r="H86" s="28">
        <f>E86*t_K_in+(F86/2)*t_K_in^2-G86/t_K_in</f>
        <v>4000.2857628229667</v>
      </c>
      <c r="I86" s="28">
        <f>E86*T_K+(F86/2)*T_K^2-G86/T_K</f>
        <v>25158.51658298757</v>
      </c>
      <c r="J86" s="28">
        <f t="shared" si="0"/>
        <v>12.629727917621084</v>
      </c>
      <c r="K86" s="437">
        <v>0</v>
      </c>
    </row>
    <row r="87" spans="2:11" ht="15.75">
      <c r="B87" s="13" t="s">
        <v>469</v>
      </c>
      <c r="C87" s="8">
        <v>0</v>
      </c>
      <c r="D87" s="8">
        <f>C52</f>
        <v>1.98</v>
      </c>
      <c r="E87" s="8">
        <v>7.3</v>
      </c>
      <c r="F87" s="19">
        <v>0.00246</v>
      </c>
      <c r="G87" s="8">
        <v>0</v>
      </c>
      <c r="H87" s="28">
        <f>E87*t_K_in+(F87/2)*t_K_in^2-G87/t_K_in</f>
        <v>2343.9174209712965</v>
      </c>
      <c r="I87" s="28">
        <f>E87*T_K+(F87/2)*T_K^2-G87/T_K</f>
        <v>19283.93443638848</v>
      </c>
      <c r="J87" s="28">
        <f t="shared" si="0"/>
        <v>10.111800350560983</v>
      </c>
      <c r="K87" s="437">
        <v>0</v>
      </c>
    </row>
    <row r="88" spans="2:11" ht="12.75">
      <c r="B88" s="25" t="s">
        <v>18</v>
      </c>
      <c r="C88" s="26" t="s">
        <v>18</v>
      </c>
      <c r="D88" s="26" t="s">
        <v>18</v>
      </c>
      <c r="E88" s="26"/>
      <c r="F88" s="27"/>
      <c r="G88" s="26"/>
      <c r="H88" s="27"/>
      <c r="J88" s="36" t="s">
        <v>61</v>
      </c>
      <c r="K88" s="438">
        <f>K82*0.9+K83*0.06+K85*0.04</f>
        <v>347541.82464</v>
      </c>
    </row>
    <row r="89" spans="2:9" ht="17.25" customHeight="1">
      <c r="B89" s="2" t="s">
        <v>69</v>
      </c>
      <c r="I89" t="s">
        <v>18</v>
      </c>
    </row>
    <row r="90" spans="2:10" ht="12" customHeight="1">
      <c r="B90" s="2"/>
      <c r="J90" t="s">
        <v>18</v>
      </c>
    </row>
    <row r="91" spans="2:11" ht="17.25" customHeight="1">
      <c r="B91" t="s">
        <v>486</v>
      </c>
      <c r="C91" s="439">
        <f>C77+LVH/SUMPRODUCT(D82:D87,J82:J87)</f>
        <v>3105.8345373744423</v>
      </c>
      <c r="D91" s="21" t="s">
        <v>482</v>
      </c>
      <c r="K91" t="s">
        <v>18</v>
      </c>
    </row>
    <row r="92" spans="3:4" ht="14.25">
      <c r="C92" s="30"/>
      <c r="D92" s="21"/>
    </row>
    <row r="93" spans="2:6" ht="15.75">
      <c r="B93" s="29" t="s">
        <v>49</v>
      </c>
      <c r="C93" s="30"/>
      <c r="D93" s="440">
        <f>C91-T_F</f>
        <v>0.3447560656868518</v>
      </c>
      <c r="F93" s="32" t="s">
        <v>80</v>
      </c>
    </row>
    <row r="94" ht="12.75">
      <c r="F94" s="40" t="s">
        <v>79</v>
      </c>
    </row>
    <row r="96" ht="12.75">
      <c r="B96" s="31" t="s">
        <v>72</v>
      </c>
    </row>
    <row r="98" spans="3:4" ht="12.75">
      <c r="C98" s="8" t="s">
        <v>50</v>
      </c>
      <c r="D98" s="33" t="s">
        <v>76</v>
      </c>
    </row>
    <row r="99" spans="3:6" ht="12.75">
      <c r="C99" s="8" t="s">
        <v>51</v>
      </c>
      <c r="D99" s="33">
        <v>0</v>
      </c>
      <c r="F99" s="6" t="s">
        <v>52</v>
      </c>
    </row>
    <row r="100" spans="3:6" ht="35.25" customHeight="1">
      <c r="C100" s="39" t="s">
        <v>152</v>
      </c>
      <c r="D100" s="33" t="s">
        <v>77</v>
      </c>
      <c r="F100" s="6" t="s">
        <v>53</v>
      </c>
    </row>
    <row r="102" spans="2:7" ht="15.75">
      <c r="B102" s="708" t="s">
        <v>68</v>
      </c>
      <c r="C102" s="709"/>
      <c r="D102" s="71">
        <v>3105.8</v>
      </c>
      <c r="E102" s="34" t="s">
        <v>59</v>
      </c>
      <c r="G102" s="40" t="s">
        <v>153</v>
      </c>
    </row>
  </sheetData>
  <sheetProtection/>
  <mergeCells count="6">
    <mergeCell ref="B102:C102"/>
    <mergeCell ref="B4:M4"/>
    <mergeCell ref="B59:J59"/>
    <mergeCell ref="F61:G61"/>
    <mergeCell ref="B65:J65"/>
    <mergeCell ref="B72:J72"/>
  </mergeCells>
  <printOptions/>
  <pageMargins left="0.7" right="0.7" top="0.75" bottom="0.75" header="0.3" footer="0.3"/>
  <pageSetup orientation="portrait" paperSize="9"/>
  <drawing r:id="rId9"/>
  <legacyDrawing r:id="rId8"/>
  <oleObjects>
    <oleObject progId="Equation.3" shapeId="1448585" r:id="rId2"/>
    <oleObject progId="Equation.3" shapeId="1448584" r:id="rId3"/>
    <oleObject progId="Equation.3" shapeId="1448583" r:id="rId4"/>
    <oleObject progId="Equation.3" shapeId="1448582" r:id="rId5"/>
    <oleObject progId="Equation.3" shapeId="1448581" r:id="rId6"/>
    <oleObject progId="Equation.3" shapeId="1448580" r:id="rId7"/>
  </oleObjects>
</worksheet>
</file>

<file path=xl/worksheets/sheet6.xml><?xml version="1.0" encoding="utf-8"?>
<worksheet xmlns="http://schemas.openxmlformats.org/spreadsheetml/2006/main" xmlns:r="http://schemas.openxmlformats.org/officeDocument/2006/relationships">
  <sheetPr codeName="Sheet5"/>
  <dimension ref="B3:C12"/>
  <sheetViews>
    <sheetView showGridLines="0" zoomScalePageLayoutView="0" workbookViewId="0" topLeftCell="A1">
      <selection activeCell="A1" sqref="A1"/>
    </sheetView>
  </sheetViews>
  <sheetFormatPr defaultColWidth="9.140625" defaultRowHeight="12.75"/>
  <sheetData>
    <row r="3" spans="2:3" ht="12.75">
      <c r="B3" s="242" t="s">
        <v>459</v>
      </c>
      <c r="C3" s="433" t="s">
        <v>460</v>
      </c>
    </row>
    <row r="10" ht="12.75">
      <c r="C10" s="37" t="s">
        <v>686</v>
      </c>
    </row>
    <row r="11" ht="12.75">
      <c r="B11" s="37" t="s">
        <v>18</v>
      </c>
    </row>
    <row r="12" spans="2:3" ht="12.75">
      <c r="B12" s="291" t="s">
        <v>494</v>
      </c>
      <c r="C12" t="s">
        <v>495</v>
      </c>
    </row>
  </sheetData>
  <sheetProtection/>
  <hyperlinks>
    <hyperlink ref="C3" r:id="rId1" display="http://www.chemecalcs.com/rk.php"/>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Tamara Soussan Design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 Munic</dc:creator>
  <cp:keywords/>
  <dc:description/>
  <cp:lastModifiedBy>Windows User</cp:lastModifiedBy>
  <cp:lastPrinted>2009-07-14T02:39:37Z</cp:lastPrinted>
  <dcterms:created xsi:type="dcterms:W3CDTF">2009-06-23T00:40:04Z</dcterms:created>
  <dcterms:modified xsi:type="dcterms:W3CDTF">2018-04-17T18:47:49Z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